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8352" windowHeight="10128" tabRatio="901" activeTab="0"/>
  </bookViews>
  <sheets>
    <sheet name="RM330" sheetId="1" r:id="rId1"/>
    <sheet name="RM332" sheetId="2" r:id="rId2"/>
    <sheet name="RM335" sheetId="3" r:id="rId3"/>
    <sheet name="RM363" sheetId="4" r:id="rId4"/>
    <sheet name="RM394" sheetId="5" r:id="rId5"/>
    <sheet name="RM416" sheetId="6" r:id="rId6"/>
    <sheet name="RM419" sheetId="7" r:id="rId7"/>
    <sheet name="HFIS494" sheetId="8" r:id="rId8"/>
    <sheet name="FairValue1" sheetId="9" r:id="rId9"/>
    <sheet name="FairValue2" sheetId="10" r:id="rId10"/>
    <sheet name="FairValue3" sheetId="11" r:id="rId11"/>
    <sheet name="FairValue4" sheetId="12" r:id="rId12"/>
    <sheet name="FairValue5" sheetId="13" r:id="rId13"/>
  </sheets>
  <definedNames/>
  <calcPr fullCalcOnLoad="1"/>
</workbook>
</file>

<file path=xl/sharedStrings.xml><?xml version="1.0" encoding="utf-8"?>
<sst xmlns="http://schemas.openxmlformats.org/spreadsheetml/2006/main" count="505" uniqueCount="130">
  <si>
    <t>d1</t>
  </si>
  <si>
    <t>d2</t>
  </si>
  <si>
    <t>N(d2)</t>
  </si>
  <si>
    <t>T</t>
  </si>
  <si>
    <t>price</t>
  </si>
  <si>
    <t>DF</t>
  </si>
  <si>
    <t>Year 1</t>
  </si>
  <si>
    <t>Year 2</t>
  </si>
  <si>
    <t>Year 3</t>
  </si>
  <si>
    <t>Time</t>
  </si>
  <si>
    <t>Discount</t>
  </si>
  <si>
    <t>Rate</t>
  </si>
  <si>
    <t>Payment</t>
  </si>
  <si>
    <t>Factor</t>
  </si>
  <si>
    <t>Year</t>
  </si>
  <si>
    <t>Total</t>
  </si>
  <si>
    <t>Transition Matrix</t>
  </si>
  <si>
    <t>AAA</t>
  </si>
  <si>
    <t>AA</t>
  </si>
  <si>
    <t>A</t>
  </si>
  <si>
    <t>BBB</t>
  </si>
  <si>
    <t>BB</t>
  </si>
  <si>
    <t>B</t>
  </si>
  <si>
    <t>CCC</t>
  </si>
  <si>
    <t>Default</t>
  </si>
  <si>
    <t>One-Year Forwad Zero Curves for Each Credit Rating</t>
  </si>
  <si>
    <t>Distribution of Change in Value</t>
  </si>
  <si>
    <t>Category</t>
  </si>
  <si>
    <t>Year 4</t>
  </si>
  <si>
    <t>Year-End</t>
  </si>
  <si>
    <t>Prob. Of</t>
  </si>
  <si>
    <t>Forward</t>
  </si>
  <si>
    <t>Change in</t>
  </si>
  <si>
    <t>Rating</t>
  </si>
  <si>
    <t>state</t>
  </si>
  <si>
    <t>value</t>
  </si>
  <si>
    <t>Obligor 2</t>
  </si>
  <si>
    <t>Obligor 1</t>
  </si>
  <si>
    <t>(BB)</t>
  </si>
  <si>
    <t>Joint Migration Probabilities with Zero Correlation for Two Issuers Rated BB and A</t>
  </si>
  <si>
    <t>BB Rated Obligor</t>
  </si>
  <si>
    <t>Probability</t>
  </si>
  <si>
    <t>Thresholds: Z</t>
  </si>
  <si>
    <t>A Rated Obligor</t>
  </si>
  <si>
    <t>Rating in</t>
  </si>
  <si>
    <t>One Year</t>
  </si>
  <si>
    <t>r (disc)</t>
  </si>
  <si>
    <t>r (cont)</t>
  </si>
  <si>
    <t>Leverage</t>
  </si>
  <si>
    <t>Ratio</t>
  </si>
  <si>
    <t>F</t>
  </si>
  <si>
    <t>N(-d1)</t>
  </si>
  <si>
    <r>
      <t>V</t>
    </r>
    <r>
      <rPr>
        <i/>
        <vertAlign val="subscript"/>
        <sz val="10"/>
        <rFont val="Garamond"/>
        <family val="1"/>
      </rPr>
      <t>0</t>
    </r>
  </si>
  <si>
    <r>
      <t>P</t>
    </r>
    <r>
      <rPr>
        <vertAlign val="subscript"/>
        <sz val="10"/>
        <rFont val="Garamond"/>
        <family val="1"/>
      </rPr>
      <t>0</t>
    </r>
  </si>
  <si>
    <r>
      <t>B</t>
    </r>
    <r>
      <rPr>
        <vertAlign val="subscript"/>
        <sz val="10"/>
        <rFont val="Garamond"/>
        <family val="1"/>
      </rPr>
      <t>0</t>
    </r>
  </si>
  <si>
    <r>
      <t>y</t>
    </r>
    <r>
      <rPr>
        <vertAlign val="subscript"/>
        <sz val="10"/>
        <rFont val="Garamond"/>
        <family val="1"/>
      </rPr>
      <t>T</t>
    </r>
  </si>
  <si>
    <t>* Slight roundoff error</t>
  </si>
  <si>
    <t>PV</t>
  </si>
  <si>
    <t>Default-Free</t>
  </si>
  <si>
    <t>Risky</t>
  </si>
  <si>
    <t>CF</t>
  </si>
  <si>
    <r>
      <t>Q</t>
    </r>
    <r>
      <rPr>
        <b/>
        <vertAlign val="subscript"/>
        <sz val="10"/>
        <rFont val="Garamond"/>
        <family val="1"/>
      </rPr>
      <t>i</t>
    </r>
  </si>
  <si>
    <t>t</t>
  </si>
  <si>
    <t>Month</t>
  </si>
  <si>
    <t>Term</t>
  </si>
  <si>
    <t>U.S. Treasury</t>
  </si>
  <si>
    <t>Company X</t>
  </si>
  <si>
    <t>Forwards</t>
  </si>
  <si>
    <t>Credit Spread</t>
  </si>
  <si>
    <t>Def Probs</t>
  </si>
  <si>
    <t>LGD</t>
  </si>
  <si>
    <t>Cumulative</t>
  </si>
  <si>
    <t>Conditional</t>
  </si>
  <si>
    <t>Zero</t>
  </si>
  <si>
    <t>Discounted</t>
  </si>
  <si>
    <t>Exp Loss</t>
  </si>
  <si>
    <t>Annualized Spread</t>
  </si>
  <si>
    <t>Monthly Loan Amortization Table</t>
  </si>
  <si>
    <t>Balance</t>
  </si>
  <si>
    <t>Monthly Rate</t>
  </si>
  <si>
    <t>Months</t>
  </si>
  <si>
    <t>Level Payment</t>
  </si>
  <si>
    <t>Interest</t>
  </si>
  <si>
    <t>Principal</t>
  </si>
  <si>
    <r>
      <t>r</t>
    </r>
    <r>
      <rPr>
        <i/>
        <vertAlign val="subscript"/>
        <sz val="10"/>
        <rFont val="Garamond"/>
        <family val="1"/>
      </rPr>
      <t>E</t>
    </r>
  </si>
  <si>
    <t>Year 5</t>
  </si>
  <si>
    <t>Year 6</t>
  </si>
  <si>
    <t>e</t>
  </si>
  <si>
    <t>Liability cash flows</t>
  </si>
  <si>
    <r>
      <t>r</t>
    </r>
    <r>
      <rPr>
        <i/>
        <vertAlign val="subscript"/>
        <sz val="10"/>
        <rFont val="Garamond"/>
        <family val="1"/>
      </rPr>
      <t>A</t>
    </r>
  </si>
  <si>
    <t>Premium</t>
  </si>
  <si>
    <t>Expense</t>
  </si>
  <si>
    <r>
      <t>r</t>
    </r>
    <r>
      <rPr>
        <i/>
        <vertAlign val="subscript"/>
        <sz val="10"/>
        <rFont val="Garamond"/>
        <family val="1"/>
      </rPr>
      <t>L</t>
    </r>
  </si>
  <si>
    <t>Death claims</t>
  </si>
  <si>
    <t>Net liability cash flows</t>
  </si>
  <si>
    <t>Liability at fair value</t>
  </si>
  <si>
    <t>Benchmark capital</t>
  </si>
  <si>
    <t>Total assets</t>
  </si>
  <si>
    <t>Investment income</t>
  </si>
  <si>
    <t>Gain from operations before tax</t>
  </si>
  <si>
    <t>Income tax</t>
  </si>
  <si>
    <t>Net release of capital</t>
  </si>
  <si>
    <t>IRR on net release of capital:</t>
  </si>
  <si>
    <t>Operating statement</t>
  </si>
  <si>
    <t>Premium Income</t>
  </si>
  <si>
    <t>Investment Income</t>
  </si>
  <si>
    <t>Total Income</t>
  </si>
  <si>
    <t>Claims</t>
  </si>
  <si>
    <t>Expenses</t>
  </si>
  <si>
    <t>Inrease in liability</t>
  </si>
  <si>
    <t>Total disbursements</t>
  </si>
  <si>
    <t>Gain before tax</t>
  </si>
  <si>
    <t>Tax</t>
  </si>
  <si>
    <t>Net operating gain</t>
  </si>
  <si>
    <t>Return on equity</t>
  </si>
  <si>
    <t>Balance Sheet</t>
  </si>
  <si>
    <t>Assets</t>
  </si>
  <si>
    <t>Liabilities</t>
  </si>
  <si>
    <t>Surplus</t>
  </si>
  <si>
    <t>Total liabilities and surplus</t>
  </si>
  <si>
    <t>Year 1-3</t>
  </si>
  <si>
    <t>Year 4+</t>
  </si>
  <si>
    <t>Liability at fair value (original)</t>
  </si>
  <si>
    <t>Liability at fair value (new)</t>
  </si>
  <si>
    <t>Benchmark capital (original)</t>
  </si>
  <si>
    <t>Benchmark capital (new)</t>
  </si>
  <si>
    <t>Total assets (original)</t>
  </si>
  <si>
    <t>Total assets (new)</t>
  </si>
  <si>
    <t>Original Assumptions</t>
  </si>
  <si>
    <t>Revised Assumptions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</si>
</sst>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"/>
    <numFmt numFmtId="169" formatCode="#,##0.0_);\(#,##0.0\)"/>
    <numFmt numFmtId="170" formatCode="0.0"/>
    <numFmt numFmtId="171" formatCode="0.00000000"/>
    <numFmt numFmtId="172" formatCode="0.0000000"/>
    <numFmt numFmtId="173" formatCode="0.000%"/>
    <numFmt numFmtId="174" formatCode="0.0000000000000%"/>
    <numFmt numFmtId="175" formatCode="0.0000%"/>
    <numFmt numFmtId="176" formatCode="0.00000%"/>
    <numFmt numFmtId="177" formatCode="0.000000%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E+00"/>
    <numFmt numFmtId="186" formatCode="0E+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&quot;$&quot;#,##0"/>
    <numFmt numFmtId="192" formatCode="#,##0.000_);\(#,##0.000\)"/>
    <numFmt numFmtId="193" formatCode="#,##0.0000_);\(#,##0.0000\)"/>
    <numFmt numFmtId="194" formatCode="0_);\(0\)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[$-409]dddd\,\ mmmm\ dd\,\ yyyy"/>
    <numFmt numFmtId="203" formatCode="m/d/yy;@"/>
    <numFmt numFmtId="204" formatCode="0.00000000000000000%"/>
    <numFmt numFmtId="205" formatCode="&quot;$&quot;#,##0.0_);[Red]\(&quot;$&quot;#,##0.0\)"/>
    <numFmt numFmtId="206" formatCode="#,##0.00000_);\(#,##0.00000\)"/>
    <numFmt numFmtId="207" formatCode="&quot;$&quot;#,##0.000_);[Red]\(&quot;$&quot;#,##0.000\)"/>
    <numFmt numFmtId="208" formatCode="&quot;$&quot;#,##0.0000_);[Red]\(&quot;$&quot;#,##0.0000\)"/>
    <numFmt numFmtId="209" formatCode="0.0000_);\(0.0000\)"/>
    <numFmt numFmtId="210" formatCode="0.000_);\(0.000\)"/>
    <numFmt numFmtId="211" formatCode="0.00000_);\(0.00000\)"/>
    <numFmt numFmtId="212" formatCode="#,##0.0000"/>
  </numFmts>
  <fonts count="15">
    <font>
      <sz val="10"/>
      <name val="Garamond"/>
      <family val="0"/>
    </font>
    <font>
      <b/>
      <sz val="10"/>
      <name val="Garamond"/>
      <family val="1"/>
    </font>
    <font>
      <b/>
      <i/>
      <sz val="10"/>
      <name val="Garamond"/>
      <family val="1"/>
    </font>
    <font>
      <vertAlign val="subscript"/>
      <sz val="10"/>
      <name val="Garamond"/>
      <family val="1"/>
    </font>
    <font>
      <b/>
      <sz val="10"/>
      <color indexed="12"/>
      <name val="Garamond"/>
      <family val="1"/>
    </font>
    <font>
      <i/>
      <sz val="10"/>
      <name val="Garamond"/>
      <family val="1"/>
    </font>
    <font>
      <u val="single"/>
      <sz val="10"/>
      <color indexed="12"/>
      <name val="Garamond"/>
      <family val="0"/>
    </font>
    <font>
      <u val="single"/>
      <sz val="10"/>
      <color indexed="36"/>
      <name val="Garamond"/>
      <family val="0"/>
    </font>
    <font>
      <b/>
      <vertAlign val="subscript"/>
      <sz val="10"/>
      <name val="Garamond"/>
      <family val="1"/>
    </font>
    <font>
      <i/>
      <vertAlign val="subscript"/>
      <sz val="10"/>
      <name val="Garamond"/>
      <family val="1"/>
    </font>
    <font>
      <sz val="10"/>
      <color indexed="12"/>
      <name val="Garamond"/>
      <family val="0"/>
    </font>
    <font>
      <b/>
      <u val="single"/>
      <sz val="10"/>
      <name val="Garamond"/>
      <family val="1"/>
    </font>
    <font>
      <sz val="10"/>
      <name val="Arial"/>
      <family val="0"/>
    </font>
    <font>
      <b/>
      <sz val="10"/>
      <name val="Arial"/>
      <family val="2"/>
    </font>
    <font>
      <sz val="8"/>
      <name val="Garamon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4" fillId="0" borderId="5" xfId="22" applyFont="1" applyBorder="1" applyAlignment="1">
      <alignment horizontal="center"/>
    </xf>
    <xf numFmtId="9" fontId="4" fillId="0" borderId="6" xfId="2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39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39" fontId="0" fillId="0" borderId="0" xfId="0" applyNumberFormat="1" applyAlignment="1">
      <alignment/>
    </xf>
    <xf numFmtId="166" fontId="0" fillId="0" borderId="7" xfId="0" applyNumberFormat="1" applyBorder="1" applyAlignment="1">
      <alignment horizontal="center"/>
    </xf>
    <xf numFmtId="10" fontId="4" fillId="0" borderId="6" xfId="22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22" applyNumberFormat="1" applyAlignment="1">
      <alignment horizontal="center"/>
    </xf>
    <xf numFmtId="10" fontId="0" fillId="0" borderId="3" xfId="22" applyNumberFormat="1" applyBorder="1" applyAlignment="1">
      <alignment horizontal="center"/>
    </xf>
    <xf numFmtId="39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22" applyNumberForma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9" fontId="0" fillId="0" borderId="6" xfId="22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0" fillId="0" borderId="10" xfId="22" applyNumberFormat="1" applyBorder="1" applyAlignment="1">
      <alignment horizontal="center"/>
    </xf>
    <xf numFmtId="39" fontId="0" fillId="0" borderId="10" xfId="22" applyNumberForma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10" fontId="0" fillId="0" borderId="2" xfId="22" applyNumberFormat="1" applyBorder="1" applyAlignment="1">
      <alignment horizontal="center"/>
    </xf>
    <xf numFmtId="10" fontId="0" fillId="0" borderId="4" xfId="22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1" fillId="0" borderId="3" xfId="0" applyNumberFormat="1" applyFont="1" applyBorder="1" applyAlignment="1">
      <alignment horizontal="center"/>
    </xf>
    <xf numFmtId="39" fontId="0" fillId="0" borderId="0" xfId="22" applyNumberFormat="1" applyAlignment="1">
      <alignment/>
    </xf>
    <xf numFmtId="164" fontId="0" fillId="0" borderId="0" xfId="0" applyNumberFormat="1" applyAlignment="1">
      <alignment horizontal="center"/>
    </xf>
    <xf numFmtId="39" fontId="0" fillId="0" borderId="0" xfId="22" applyNumberFormat="1" applyAlignment="1">
      <alignment horizontal="center"/>
    </xf>
    <xf numFmtId="9" fontId="0" fillId="0" borderId="0" xfId="22" applyNumberFormat="1" applyFont="1" applyAlignment="1">
      <alignment/>
    </xf>
    <xf numFmtId="10" fontId="10" fillId="0" borderId="0" xfId="22" applyNumberFormat="1" applyFont="1" applyAlignment="1">
      <alignment horizontal="center"/>
    </xf>
    <xf numFmtId="10" fontId="10" fillId="0" borderId="3" xfId="2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5" xfId="0" applyNumberFormat="1" applyBorder="1" applyAlignment="1">
      <alignment horizontal="center"/>
    </xf>
    <xf numFmtId="39" fontId="0" fillId="0" borderId="6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39" fontId="0" fillId="0" borderId="10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39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0" fontId="10" fillId="0" borderId="7" xfId="22" applyNumberFormat="1" applyFont="1" applyBorder="1" applyAlignment="1">
      <alignment horizontal="center"/>
    </xf>
    <xf numFmtId="10" fontId="10" fillId="0" borderId="0" xfId="22" applyNumberFormat="1" applyFont="1" applyBorder="1" applyAlignment="1">
      <alignment horizontal="center"/>
    </xf>
    <xf numFmtId="39" fontId="10" fillId="0" borderId="7" xfId="0" applyNumberFormat="1" applyFont="1" applyBorder="1" applyAlignment="1">
      <alignment horizontal="center"/>
    </xf>
    <xf numFmtId="39" fontId="10" fillId="0" borderId="0" xfId="0" applyNumberFormat="1" applyFont="1" applyBorder="1" applyAlignment="1">
      <alignment horizontal="center"/>
    </xf>
    <xf numFmtId="39" fontId="1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0" fillId="0" borderId="0" xfId="22" applyNumberFormat="1" applyAlignment="1">
      <alignment/>
    </xf>
    <xf numFmtId="10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9" fontId="0" fillId="0" borderId="9" xfId="22" applyBorder="1" applyAlignment="1">
      <alignment horizontal="center"/>
    </xf>
    <xf numFmtId="9" fontId="0" fillId="0" borderId="9" xfId="22" applyBorder="1" applyAlignment="1">
      <alignment horizontal="center"/>
    </xf>
    <xf numFmtId="10" fontId="0" fillId="0" borderId="0" xfId="22" applyNumberFormat="1" applyAlignment="1">
      <alignment/>
    </xf>
    <xf numFmtId="173" fontId="1" fillId="0" borderId="0" xfId="0" applyNumberFormat="1" applyFont="1" applyAlignment="1">
      <alignment/>
    </xf>
    <xf numFmtId="10" fontId="1" fillId="0" borderId="0" xfId="22" applyNumberFormat="1" applyFont="1" applyAlignment="1">
      <alignment/>
    </xf>
    <xf numFmtId="0" fontId="13" fillId="0" borderId="0" xfId="21" applyFont="1">
      <alignment/>
      <protection/>
    </xf>
    <xf numFmtId="0" fontId="12" fillId="0" borderId="0" xfId="21">
      <alignment/>
      <protection/>
    </xf>
    <xf numFmtId="43" fontId="12" fillId="0" borderId="0" xfId="15" applyAlignment="1">
      <alignment/>
    </xf>
    <xf numFmtId="10" fontId="12" fillId="0" borderId="0" xfId="22" applyNumberFormat="1" applyAlignment="1">
      <alignment/>
    </xf>
    <xf numFmtId="2" fontId="12" fillId="0" borderId="0" xfId="21" applyNumberFormat="1">
      <alignment/>
      <protection/>
    </xf>
    <xf numFmtId="0" fontId="12" fillId="0" borderId="0" xfId="21" applyAlignment="1">
      <alignment horizontal="right"/>
      <protection/>
    </xf>
    <xf numFmtId="43" fontId="12" fillId="0" borderId="0" xfId="21" applyNumberFormat="1">
      <alignment/>
      <protection/>
    </xf>
    <xf numFmtId="39" fontId="10" fillId="0" borderId="0" xfId="0" applyNumberFormat="1" applyFont="1" applyAlignment="1">
      <alignment/>
    </xf>
    <xf numFmtId="164" fontId="0" fillId="0" borderId="0" xfId="22" applyNumberFormat="1" applyAlignment="1">
      <alignment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FIS49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2:K23"/>
  <sheetViews>
    <sheetView showGridLines="0" tabSelected="1" workbookViewId="0" topLeftCell="A1">
      <selection activeCell="A2" sqref="A2"/>
    </sheetView>
  </sheetViews>
  <sheetFormatPr defaultColWidth="9.33203125" defaultRowHeight="12.75"/>
  <cols>
    <col min="3" max="7" width="10.83203125" style="0" customWidth="1"/>
  </cols>
  <sheetData>
    <row r="2" ht="12.75">
      <c r="C2" s="4" t="s">
        <v>16</v>
      </c>
    </row>
    <row r="3" spans="2:10" ht="12.75">
      <c r="B3" s="1"/>
      <c r="C3" s="21" t="s">
        <v>17</v>
      </c>
      <c r="D3" s="21" t="s">
        <v>18</v>
      </c>
      <c r="E3" s="21" t="s">
        <v>19</v>
      </c>
      <c r="F3" s="21" t="s">
        <v>20</v>
      </c>
      <c r="G3" s="21" t="s">
        <v>21</v>
      </c>
      <c r="H3" s="21" t="s">
        <v>22</v>
      </c>
      <c r="I3" s="21" t="s">
        <v>23</v>
      </c>
      <c r="J3" s="21" t="s">
        <v>24</v>
      </c>
    </row>
    <row r="4" spans="2:10" ht="12.75">
      <c r="B4" s="14" t="s">
        <v>17</v>
      </c>
      <c r="C4" s="61">
        <v>0.9081</v>
      </c>
      <c r="D4" s="61">
        <v>0.0833</v>
      </c>
      <c r="E4" s="61">
        <v>0.0068000000000000005</v>
      </c>
      <c r="F4" s="61">
        <v>0.0006</v>
      </c>
      <c r="G4" s="61">
        <v>0.0012</v>
      </c>
      <c r="H4" s="61">
        <v>0</v>
      </c>
      <c r="I4" s="61">
        <v>0</v>
      </c>
      <c r="J4" s="61">
        <v>0</v>
      </c>
    </row>
    <row r="5" spans="2:10" ht="12.75">
      <c r="B5" s="10" t="s">
        <v>18</v>
      </c>
      <c r="C5" s="61">
        <v>0.006999999999999999</v>
      </c>
      <c r="D5" s="61">
        <v>0.9065000000000001</v>
      </c>
      <c r="E5" s="61">
        <v>0.0779</v>
      </c>
      <c r="F5" s="61">
        <v>0.0064</v>
      </c>
      <c r="G5" s="61">
        <v>0.0006</v>
      </c>
      <c r="H5" s="61">
        <v>0.0014000000000000002</v>
      </c>
      <c r="I5" s="61">
        <v>0.0002</v>
      </c>
      <c r="J5" s="61">
        <v>0</v>
      </c>
    </row>
    <row r="6" spans="2:10" ht="12.75">
      <c r="B6" s="10" t="s">
        <v>19</v>
      </c>
      <c r="C6" s="61">
        <v>0.0009</v>
      </c>
      <c r="D6" s="61">
        <v>0.0227</v>
      </c>
      <c r="E6" s="61">
        <v>0.9105</v>
      </c>
      <c r="F6" s="61">
        <v>0.0552</v>
      </c>
      <c r="G6" s="61">
        <v>0.0074</v>
      </c>
      <c r="H6" s="61">
        <v>0.0026000000000000003</v>
      </c>
      <c r="I6" s="61">
        <v>0.0001</v>
      </c>
      <c r="J6" s="61">
        <v>0.0006</v>
      </c>
    </row>
    <row r="7" spans="2:10" ht="12.75">
      <c r="B7" s="10" t="s">
        <v>20</v>
      </c>
      <c r="C7" s="61">
        <v>0.0002</v>
      </c>
      <c r="D7" s="61">
        <v>0.0033000000000000004</v>
      </c>
      <c r="E7" s="61">
        <v>0.059500000000000004</v>
      </c>
      <c r="F7" s="61">
        <v>0.8693000000000001</v>
      </c>
      <c r="G7" s="61">
        <v>0.053</v>
      </c>
      <c r="H7" s="61">
        <v>0.0117</v>
      </c>
      <c r="I7" s="61">
        <v>0.0012</v>
      </c>
      <c r="J7" s="61">
        <v>0.0018</v>
      </c>
    </row>
    <row r="8" spans="2:10" ht="12.75">
      <c r="B8" s="10" t="s">
        <v>21</v>
      </c>
      <c r="C8" s="61">
        <v>0.0003</v>
      </c>
      <c r="D8" s="61">
        <v>0.0014000000000000002</v>
      </c>
      <c r="E8" s="61">
        <v>0.0067</v>
      </c>
      <c r="F8" s="61">
        <v>0.07730000000000001</v>
      </c>
      <c r="G8" s="61">
        <v>0.8053</v>
      </c>
      <c r="H8" s="61">
        <v>0.0884</v>
      </c>
      <c r="I8" s="61">
        <v>0.01</v>
      </c>
      <c r="J8" s="61">
        <v>0.0106</v>
      </c>
    </row>
    <row r="9" spans="2:10" ht="12.75">
      <c r="B9" s="10" t="s">
        <v>22</v>
      </c>
      <c r="C9" s="61">
        <v>0</v>
      </c>
      <c r="D9" s="61">
        <v>0.0011</v>
      </c>
      <c r="E9" s="61">
        <v>0.0024</v>
      </c>
      <c r="F9" s="61">
        <v>0.0043</v>
      </c>
      <c r="G9" s="61">
        <v>0.06480000000000001</v>
      </c>
      <c r="H9" s="61">
        <v>0.8346</v>
      </c>
      <c r="I9" s="61">
        <v>0.04070000000000001</v>
      </c>
      <c r="J9" s="61">
        <v>0.052000000000000005</v>
      </c>
    </row>
    <row r="10" spans="2:10" ht="12.75">
      <c r="B10" s="11" t="s">
        <v>23</v>
      </c>
      <c r="C10" s="62">
        <v>0.0022</v>
      </c>
      <c r="D10" s="62">
        <v>0</v>
      </c>
      <c r="E10" s="62">
        <v>0.0022</v>
      </c>
      <c r="F10" s="62">
        <v>0.013000000000000001</v>
      </c>
      <c r="G10" s="62">
        <v>0.023799999999999998</v>
      </c>
      <c r="H10" s="62">
        <v>0.1124</v>
      </c>
      <c r="I10" s="62">
        <v>0.6486</v>
      </c>
      <c r="J10" s="62">
        <v>0.1979</v>
      </c>
    </row>
    <row r="13" spans="2:8" ht="12.75">
      <c r="B13" s="4" t="s">
        <v>25</v>
      </c>
      <c r="H13" s="4" t="s">
        <v>26</v>
      </c>
    </row>
    <row r="14" spans="2:11" ht="12.75">
      <c r="B14" s="21" t="s">
        <v>27</v>
      </c>
      <c r="C14" s="21" t="s">
        <v>6</v>
      </c>
      <c r="D14" s="21" t="s">
        <v>7</v>
      </c>
      <c r="E14" s="21" t="s">
        <v>8</v>
      </c>
      <c r="F14" s="21" t="s">
        <v>28</v>
      </c>
      <c r="H14" s="14" t="s">
        <v>29</v>
      </c>
      <c r="I14" s="14" t="s">
        <v>30</v>
      </c>
      <c r="J14" s="14" t="s">
        <v>31</v>
      </c>
      <c r="K14" s="14" t="s">
        <v>32</v>
      </c>
    </row>
    <row r="15" spans="2:11" ht="12.75">
      <c r="B15" s="10" t="s">
        <v>17</v>
      </c>
      <c r="C15" s="63">
        <v>3.6</v>
      </c>
      <c r="D15" s="63">
        <v>4.17</v>
      </c>
      <c r="E15" s="63">
        <v>4.73</v>
      </c>
      <c r="F15" s="63">
        <v>5.12</v>
      </c>
      <c r="H15" s="11" t="s">
        <v>33</v>
      </c>
      <c r="I15" s="11" t="s">
        <v>34</v>
      </c>
      <c r="J15" s="11" t="s">
        <v>4</v>
      </c>
      <c r="K15" s="11" t="s">
        <v>35</v>
      </c>
    </row>
    <row r="16" spans="2:11" ht="12.75">
      <c r="B16" s="10" t="s">
        <v>18</v>
      </c>
      <c r="C16" s="63">
        <v>3.65</v>
      </c>
      <c r="D16" s="63">
        <v>4.22</v>
      </c>
      <c r="E16" s="63">
        <v>4.78</v>
      </c>
      <c r="F16" s="63">
        <v>5.17</v>
      </c>
      <c r="H16" s="14" t="s">
        <v>17</v>
      </c>
      <c r="I16" s="16">
        <f>C$7</f>
        <v>0.0002</v>
      </c>
      <c r="J16" s="31">
        <f aca="true" t="shared" si="0" ref="J16:J22">6+6*(1+C15/100)^-1+6*(1+D15/100)^-2+6*(1+E15/100)^-3+106*(1+F15/100)^-4</f>
        <v>109.35290799817747</v>
      </c>
      <c r="K16" s="31">
        <f aca="true" t="shared" si="1" ref="K16:K23">J16-$J$19</f>
        <v>1.8219641323713915</v>
      </c>
    </row>
    <row r="17" spans="2:11" ht="12.75">
      <c r="B17" s="10" t="s">
        <v>19</v>
      </c>
      <c r="C17" s="63">
        <v>3.72</v>
      </c>
      <c r="D17" s="63">
        <v>4.32</v>
      </c>
      <c r="E17" s="63">
        <v>4.93</v>
      </c>
      <c r="F17" s="63">
        <v>5.32</v>
      </c>
      <c r="H17" s="32" t="s">
        <v>18</v>
      </c>
      <c r="I17" s="17">
        <f>D$7</f>
        <v>0.0033000000000000004</v>
      </c>
      <c r="J17" s="7">
        <f t="shared" si="0"/>
        <v>109.17237089806929</v>
      </c>
      <c r="K17" s="20">
        <f t="shared" si="1"/>
        <v>1.6414270322632092</v>
      </c>
    </row>
    <row r="18" spans="2:11" ht="12.75">
      <c r="B18" s="10" t="s">
        <v>20</v>
      </c>
      <c r="C18" s="63">
        <v>4.1</v>
      </c>
      <c r="D18" s="63">
        <v>4.67</v>
      </c>
      <c r="E18" s="63">
        <v>5.25</v>
      </c>
      <c r="F18" s="63">
        <v>5.63</v>
      </c>
      <c r="H18" s="32" t="s">
        <v>19</v>
      </c>
      <c r="I18" s="17">
        <f>E$7</f>
        <v>0.059500000000000004</v>
      </c>
      <c r="J18" s="7">
        <f t="shared" si="0"/>
        <v>108.64299209354374</v>
      </c>
      <c r="K18" s="20">
        <f t="shared" si="1"/>
        <v>1.1120482277376595</v>
      </c>
    </row>
    <row r="19" spans="2:11" ht="12.75">
      <c r="B19" s="10" t="s">
        <v>21</v>
      </c>
      <c r="C19" s="63">
        <v>5.55</v>
      </c>
      <c r="D19" s="63">
        <v>6.02</v>
      </c>
      <c r="E19" s="63">
        <v>6.78</v>
      </c>
      <c r="F19" s="63">
        <v>7.27</v>
      </c>
      <c r="H19" s="32" t="s">
        <v>20</v>
      </c>
      <c r="I19" s="17">
        <f>F$7</f>
        <v>0.8693000000000001</v>
      </c>
      <c r="J19" s="7">
        <f t="shared" si="0"/>
        <v>107.53094386580608</v>
      </c>
      <c r="K19" s="20">
        <f t="shared" si="1"/>
        <v>0</v>
      </c>
    </row>
    <row r="20" spans="2:11" ht="12.75">
      <c r="B20" s="10" t="s">
        <v>22</v>
      </c>
      <c r="C20" s="63">
        <v>6.05</v>
      </c>
      <c r="D20" s="63">
        <v>7.02</v>
      </c>
      <c r="E20" s="63">
        <v>8.03</v>
      </c>
      <c r="F20" s="63">
        <v>8.52</v>
      </c>
      <c r="H20" s="32" t="s">
        <v>21</v>
      </c>
      <c r="I20" s="17">
        <f>G$7</f>
        <v>0.053</v>
      </c>
      <c r="J20" s="7">
        <f t="shared" si="0"/>
        <v>102.00638552436996</v>
      </c>
      <c r="K20" s="20">
        <f t="shared" si="1"/>
        <v>-5.524558341436119</v>
      </c>
    </row>
    <row r="21" spans="2:11" ht="12.75">
      <c r="B21" s="11" t="s">
        <v>23</v>
      </c>
      <c r="C21" s="64">
        <v>15.05</v>
      </c>
      <c r="D21" s="64">
        <v>15.02</v>
      </c>
      <c r="E21" s="64">
        <v>14.03</v>
      </c>
      <c r="F21" s="64">
        <v>13.52</v>
      </c>
      <c r="H21" s="32" t="s">
        <v>22</v>
      </c>
      <c r="I21" s="17">
        <f>H$7</f>
        <v>0.0117</v>
      </c>
      <c r="J21" s="7">
        <f t="shared" si="0"/>
        <v>98.08591318067509</v>
      </c>
      <c r="K21" s="20">
        <f t="shared" si="1"/>
        <v>-9.445030685130988</v>
      </c>
    </row>
    <row r="22" spans="8:11" ht="12.75">
      <c r="H22" s="32" t="s">
        <v>23</v>
      </c>
      <c r="I22" s="17">
        <f>I$7</f>
        <v>0.0012</v>
      </c>
      <c r="J22" s="7">
        <f t="shared" si="0"/>
        <v>83.62579119722375</v>
      </c>
      <c r="K22" s="20">
        <f t="shared" si="1"/>
        <v>-23.905152668582332</v>
      </c>
    </row>
    <row r="23" spans="8:11" ht="12.75">
      <c r="H23" s="11" t="s">
        <v>24</v>
      </c>
      <c r="I23" s="18">
        <f>J$7</f>
        <v>0.0018</v>
      </c>
      <c r="J23" s="33">
        <v>51.11</v>
      </c>
      <c r="K23" s="33">
        <f t="shared" si="1"/>
        <v>-56.42094386580608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41"/>
  <sheetViews>
    <sheetView workbookViewId="0" topLeftCell="A1">
      <selection activeCell="A1" sqref="A1"/>
    </sheetView>
  </sheetViews>
  <sheetFormatPr defaultColWidth="9.33203125" defaultRowHeight="12.75"/>
  <cols>
    <col min="5" max="5" width="29.16015625" style="0" bestFit="1" customWidth="1"/>
  </cols>
  <sheetData>
    <row r="3" spans="2:11" ht="15">
      <c r="B3" s="26" t="s">
        <v>84</v>
      </c>
      <c r="C3" s="8">
        <v>0.08</v>
      </c>
      <c r="F3" s="11" t="s">
        <v>6</v>
      </c>
      <c r="G3" s="11" t="s">
        <v>7</v>
      </c>
      <c r="H3" s="11" t="s">
        <v>8</v>
      </c>
      <c r="I3" s="11" t="s">
        <v>28</v>
      </c>
      <c r="J3" s="11" t="s">
        <v>85</v>
      </c>
      <c r="K3" s="11" t="s">
        <v>86</v>
      </c>
    </row>
    <row r="4" spans="2:5" ht="12.75">
      <c r="B4" s="27" t="s">
        <v>87</v>
      </c>
      <c r="C4" s="9">
        <v>0.12</v>
      </c>
      <c r="E4" t="s">
        <v>88</v>
      </c>
    </row>
    <row r="5" spans="2:11" ht="15">
      <c r="B5" s="27" t="s">
        <v>89</v>
      </c>
      <c r="C5" s="9">
        <v>0.07</v>
      </c>
      <c r="E5" t="s">
        <v>90</v>
      </c>
      <c r="F5" s="96">
        <v>310.37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</row>
    <row r="6" spans="2:11" ht="12.75">
      <c r="B6" s="27" t="s">
        <v>62</v>
      </c>
      <c r="C6" s="9">
        <v>0.35</v>
      </c>
      <c r="E6" t="s">
        <v>91</v>
      </c>
      <c r="F6" s="96">
        <v>35</v>
      </c>
      <c r="G6" s="96">
        <v>5</v>
      </c>
      <c r="H6" s="96">
        <v>5.5</v>
      </c>
      <c r="I6" s="96">
        <v>6</v>
      </c>
      <c r="J6" s="96">
        <v>6.5</v>
      </c>
      <c r="K6" s="96">
        <v>7</v>
      </c>
    </row>
    <row r="7" spans="2:11" ht="15">
      <c r="B7" s="53" t="s">
        <v>92</v>
      </c>
      <c r="C7" s="47">
        <f>C5-(C4*((C3/(1-C6))-C5))</f>
        <v>0.06363076923076924</v>
      </c>
      <c r="E7" t="s">
        <v>93</v>
      </c>
      <c r="F7" s="96">
        <v>0</v>
      </c>
      <c r="G7" s="96">
        <v>50</v>
      </c>
      <c r="H7" s="96">
        <v>55</v>
      </c>
      <c r="I7" s="96">
        <v>60</v>
      </c>
      <c r="J7" s="96">
        <v>65</v>
      </c>
      <c r="K7" s="96">
        <v>70</v>
      </c>
    </row>
    <row r="8" spans="5:11" ht="12.75">
      <c r="E8" t="s">
        <v>94</v>
      </c>
      <c r="F8" s="23">
        <f aca="true" t="shared" si="0" ref="F8:K8">F5-F6-F7</f>
        <v>275.37</v>
      </c>
      <c r="G8" s="23">
        <f t="shared" si="0"/>
        <v>-55</v>
      </c>
      <c r="H8" s="23">
        <f t="shared" si="0"/>
        <v>-60.5</v>
      </c>
      <c r="I8" s="23">
        <f t="shared" si="0"/>
        <v>-66</v>
      </c>
      <c r="J8" s="23">
        <f t="shared" si="0"/>
        <v>-71.5</v>
      </c>
      <c r="K8" s="23">
        <f t="shared" si="0"/>
        <v>-77</v>
      </c>
    </row>
    <row r="10" spans="5:11" ht="12.75">
      <c r="E10" t="s">
        <v>95</v>
      </c>
      <c r="F10" s="23">
        <f>-NPV($C$7,G8:$K8)</f>
        <v>272.46564404615606</v>
      </c>
      <c r="G10" s="23">
        <f>-NPV($C$7,H8:$K8)</f>
        <v>234.80284256576988</v>
      </c>
      <c r="H10" s="23">
        <f>-NPV($C$7,I8:$K8)</f>
        <v>189.24352805580102</v>
      </c>
      <c r="I10" s="23">
        <f>-NPV($C$7,J8:$K8)</f>
        <v>135.2852393179363</v>
      </c>
      <c r="J10" s="23">
        <f>-NPV($C$7,K8:$K8)</f>
        <v>72.39354316130526</v>
      </c>
      <c r="K10" s="23">
        <v>0</v>
      </c>
    </row>
    <row r="11" spans="5:11" ht="12.75">
      <c r="E11" t="s">
        <v>96</v>
      </c>
      <c r="F11" s="23">
        <f aca="true" t="shared" si="1" ref="F11:K11">F10*$C$4</f>
        <v>32.69587728553873</v>
      </c>
      <c r="G11" s="23">
        <f t="shared" si="1"/>
        <v>28.176341107892384</v>
      </c>
      <c r="H11" s="23">
        <f t="shared" si="1"/>
        <v>22.709223366696122</v>
      </c>
      <c r="I11" s="23">
        <f t="shared" si="1"/>
        <v>16.234228718152355</v>
      </c>
      <c r="J11" s="23">
        <f t="shared" si="1"/>
        <v>8.68722517935663</v>
      </c>
      <c r="K11" s="23">
        <f t="shared" si="1"/>
        <v>0</v>
      </c>
    </row>
    <row r="12" spans="5:11" ht="12.75">
      <c r="E12" t="s">
        <v>97</v>
      </c>
      <c r="F12" s="23">
        <f aca="true" t="shared" si="2" ref="F12:K12">F10+F11</f>
        <v>305.16152133169476</v>
      </c>
      <c r="G12" s="23">
        <f t="shared" si="2"/>
        <v>262.97918367366225</v>
      </c>
      <c r="H12" s="23">
        <f t="shared" si="2"/>
        <v>211.95275142249716</v>
      </c>
      <c r="I12" s="23">
        <f t="shared" si="2"/>
        <v>151.51946803608865</v>
      </c>
      <c r="J12" s="23">
        <f t="shared" si="2"/>
        <v>81.08076834066189</v>
      </c>
      <c r="K12" s="23">
        <f t="shared" si="2"/>
        <v>0</v>
      </c>
    </row>
    <row r="13" spans="5:11" ht="12.75">
      <c r="E13" t="s">
        <v>98</v>
      </c>
      <c r="F13" s="23">
        <v>0</v>
      </c>
      <c r="G13" s="23">
        <f>F12*$C$5</f>
        <v>21.361306493218635</v>
      </c>
      <c r="H13" s="23">
        <f>G12*$C$5</f>
        <v>18.40854285715636</v>
      </c>
      <c r="I13" s="23">
        <f>H12*$C$5</f>
        <v>14.836692599574803</v>
      </c>
      <c r="J13" s="23">
        <f>I12*$C$5</f>
        <v>10.606362762526206</v>
      </c>
      <c r="K13" s="23">
        <f>J12*$C$5</f>
        <v>5.675653783846333</v>
      </c>
    </row>
    <row r="14" spans="5:11" ht="12.75">
      <c r="E14" t="s">
        <v>99</v>
      </c>
      <c r="F14" s="23">
        <f>F5-F6-F7+F13-F10</f>
        <v>2.9043559538439467</v>
      </c>
      <c r="G14" s="23">
        <f>G5-G6-G7+G13-(G10-F10)</f>
        <v>4.0241079736048135</v>
      </c>
      <c r="H14" s="23">
        <f>H5-H6-H7+H13-(H10-G10)</f>
        <v>3.4678573671252195</v>
      </c>
      <c r="I14" s="23">
        <f>I5-I6-I7+I13-(I10-H10)</f>
        <v>2.7949813374395376</v>
      </c>
      <c r="J14" s="23">
        <f>J5-J6-J7+J13-(J10-I10)</f>
        <v>1.9980589191572307</v>
      </c>
      <c r="K14" s="23">
        <f>K5-K6-K7+K13-(K10-J10)</f>
        <v>1.0691969451515888</v>
      </c>
    </row>
    <row r="15" spans="5:11" ht="12.75">
      <c r="E15" t="s">
        <v>100</v>
      </c>
      <c r="F15" s="23">
        <f aca="true" t="shared" si="3" ref="F15:K15">F14*$C$6</f>
        <v>1.0165245838453814</v>
      </c>
      <c r="G15" s="23">
        <f t="shared" si="3"/>
        <v>1.4084377907616847</v>
      </c>
      <c r="H15" s="23">
        <f t="shared" si="3"/>
        <v>1.2137500784938267</v>
      </c>
      <c r="I15" s="23">
        <f t="shared" si="3"/>
        <v>0.9782434681038381</v>
      </c>
      <c r="J15" s="23">
        <f t="shared" si="3"/>
        <v>0.6993206217050307</v>
      </c>
      <c r="K15" s="23">
        <f t="shared" si="3"/>
        <v>0.37421893080305607</v>
      </c>
    </row>
    <row r="16" spans="5:11" ht="12.75">
      <c r="E16" t="s">
        <v>101</v>
      </c>
      <c r="F16" s="23">
        <f>-F11-(F15-F14)</f>
        <v>-30.808045915540163</v>
      </c>
      <c r="G16" s="23">
        <f>(F11-G11)-(G15-G14)</f>
        <v>7.135206360489473</v>
      </c>
      <c r="H16" s="23">
        <f>(G11-H11)-(H15-H14)</f>
        <v>7.721225029827655</v>
      </c>
      <c r="I16" s="23">
        <f>(H11-I11)-(I15-I14)</f>
        <v>8.291732517879467</v>
      </c>
      <c r="J16" s="23">
        <f>(I11-J11)-(J15-J14)</f>
        <v>8.845741836247925</v>
      </c>
      <c r="K16" s="23">
        <f>(J11-K11)-(K15-K14)</f>
        <v>9.382203193705163</v>
      </c>
    </row>
    <row r="18" spans="5:6" ht="12.75">
      <c r="E18" t="s">
        <v>102</v>
      </c>
      <c r="F18" s="58">
        <f>IRR(F16:K16)</f>
        <v>0.10189753838464555</v>
      </c>
    </row>
    <row r="20" spans="5:11" ht="12.75">
      <c r="E20" s="74" t="s">
        <v>103</v>
      </c>
      <c r="F20" s="11" t="s">
        <v>6</v>
      </c>
      <c r="G20" s="11" t="s">
        <v>7</v>
      </c>
      <c r="H20" s="11" t="s">
        <v>8</v>
      </c>
      <c r="I20" s="11" t="s">
        <v>28</v>
      </c>
      <c r="J20" s="11" t="s">
        <v>85</v>
      </c>
      <c r="K20" s="11" t="s">
        <v>86</v>
      </c>
    </row>
    <row r="21" spans="5:11" ht="12.75">
      <c r="E21" t="s">
        <v>104</v>
      </c>
      <c r="F21" s="23">
        <f aca="true" t="shared" si="4" ref="F21:K21">F5</f>
        <v>310.37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</row>
    <row r="22" spans="5:11" ht="12.75">
      <c r="E22" t="s">
        <v>105</v>
      </c>
      <c r="F22" s="23">
        <f aca="true" t="shared" si="5" ref="F22:K22">F13</f>
        <v>0</v>
      </c>
      <c r="G22" s="23">
        <f t="shared" si="5"/>
        <v>21.361306493218635</v>
      </c>
      <c r="H22" s="23">
        <f t="shared" si="5"/>
        <v>18.40854285715636</v>
      </c>
      <c r="I22" s="23">
        <f t="shared" si="5"/>
        <v>14.836692599574803</v>
      </c>
      <c r="J22" s="23">
        <f t="shared" si="5"/>
        <v>10.606362762526206</v>
      </c>
      <c r="K22" s="23">
        <f t="shared" si="5"/>
        <v>5.675653783846333</v>
      </c>
    </row>
    <row r="23" spans="5:11" ht="12.75">
      <c r="E23" t="s">
        <v>106</v>
      </c>
      <c r="F23" s="23">
        <f aca="true" t="shared" si="6" ref="F23:K23">SUM(F21:F22)</f>
        <v>310.37</v>
      </c>
      <c r="G23" s="23">
        <f t="shared" si="6"/>
        <v>21.361306493218635</v>
      </c>
      <c r="H23" s="23">
        <f t="shared" si="6"/>
        <v>18.40854285715636</v>
      </c>
      <c r="I23" s="23">
        <f t="shared" si="6"/>
        <v>14.836692599574803</v>
      </c>
      <c r="J23" s="23">
        <f t="shared" si="6"/>
        <v>10.606362762526206</v>
      </c>
      <c r="K23" s="23">
        <f t="shared" si="6"/>
        <v>5.675653783846333</v>
      </c>
    </row>
    <row r="25" spans="5:11" ht="12.75">
      <c r="E25" t="s">
        <v>107</v>
      </c>
      <c r="F25" s="23">
        <f aca="true" t="shared" si="7" ref="F25:K25">F7</f>
        <v>0</v>
      </c>
      <c r="G25" s="23">
        <f t="shared" si="7"/>
        <v>50</v>
      </c>
      <c r="H25" s="23">
        <f t="shared" si="7"/>
        <v>55</v>
      </c>
      <c r="I25" s="23">
        <f t="shared" si="7"/>
        <v>60</v>
      </c>
      <c r="J25" s="23">
        <f t="shared" si="7"/>
        <v>65</v>
      </c>
      <c r="K25" s="23">
        <f t="shared" si="7"/>
        <v>70</v>
      </c>
    </row>
    <row r="26" spans="5:11" ht="12.75">
      <c r="E26" t="s">
        <v>108</v>
      </c>
      <c r="F26" s="23">
        <f aca="true" t="shared" si="8" ref="F26:K26">F6</f>
        <v>35</v>
      </c>
      <c r="G26" s="23">
        <f t="shared" si="8"/>
        <v>5</v>
      </c>
      <c r="H26" s="23">
        <f t="shared" si="8"/>
        <v>5.5</v>
      </c>
      <c r="I26" s="23">
        <f t="shared" si="8"/>
        <v>6</v>
      </c>
      <c r="J26" s="23">
        <f t="shared" si="8"/>
        <v>6.5</v>
      </c>
      <c r="K26" s="23">
        <f t="shared" si="8"/>
        <v>7</v>
      </c>
    </row>
    <row r="27" spans="5:11" ht="12.75">
      <c r="E27" t="s">
        <v>109</v>
      </c>
      <c r="F27" s="23">
        <f>F10</f>
        <v>272.46564404615606</v>
      </c>
      <c r="G27" s="23">
        <f>G10-F10</f>
        <v>-37.66280148038618</v>
      </c>
      <c r="H27" s="23">
        <f>H10-G10</f>
        <v>-45.55931450996886</v>
      </c>
      <c r="I27" s="23">
        <f>I10-H10</f>
        <v>-53.958288737864734</v>
      </c>
      <c r="J27" s="23">
        <f>J10-I10</f>
        <v>-62.89169615663103</v>
      </c>
      <c r="K27" s="23">
        <f>K10-J10</f>
        <v>-72.39354316130526</v>
      </c>
    </row>
    <row r="28" spans="5:11" ht="12.75">
      <c r="E28" t="s">
        <v>110</v>
      </c>
      <c r="F28" s="23">
        <f aca="true" t="shared" si="9" ref="F28:K28">SUM(F25:F27)</f>
        <v>307.46564404615606</v>
      </c>
      <c r="G28" s="23">
        <f t="shared" si="9"/>
        <v>17.33719851961382</v>
      </c>
      <c r="H28" s="23">
        <f t="shared" si="9"/>
        <v>14.940685490031143</v>
      </c>
      <c r="I28" s="23">
        <f t="shared" si="9"/>
        <v>12.041711262135266</v>
      </c>
      <c r="J28" s="23">
        <f t="shared" si="9"/>
        <v>8.608303843368972</v>
      </c>
      <c r="K28" s="23">
        <f t="shared" si="9"/>
        <v>4.60645683869474</v>
      </c>
    </row>
    <row r="30" spans="5:11" ht="12.75">
      <c r="E30" t="s">
        <v>111</v>
      </c>
      <c r="F30" s="23">
        <f aca="true" t="shared" si="10" ref="F30:K30">F23-F28</f>
        <v>2.9043559538439467</v>
      </c>
      <c r="G30" s="23">
        <f t="shared" si="10"/>
        <v>4.0241079736048135</v>
      </c>
      <c r="H30" s="23">
        <f t="shared" si="10"/>
        <v>3.467857367125216</v>
      </c>
      <c r="I30" s="23">
        <f t="shared" si="10"/>
        <v>2.7949813374395376</v>
      </c>
      <c r="J30" s="23">
        <f t="shared" si="10"/>
        <v>1.9980589191572342</v>
      </c>
      <c r="K30" s="23">
        <f t="shared" si="10"/>
        <v>1.0691969451515932</v>
      </c>
    </row>
    <row r="31" spans="5:11" ht="12.75">
      <c r="E31" t="s">
        <v>112</v>
      </c>
      <c r="F31" s="23">
        <f aca="true" t="shared" si="11" ref="F31:K31">F30*$C$6</f>
        <v>1.0165245838453814</v>
      </c>
      <c r="G31" s="23">
        <f t="shared" si="11"/>
        <v>1.4084377907616847</v>
      </c>
      <c r="H31" s="23">
        <f t="shared" si="11"/>
        <v>1.2137500784938255</v>
      </c>
      <c r="I31" s="23">
        <f t="shared" si="11"/>
        <v>0.9782434681038381</v>
      </c>
      <c r="J31" s="23">
        <f t="shared" si="11"/>
        <v>0.699320621705032</v>
      </c>
      <c r="K31" s="23">
        <f t="shared" si="11"/>
        <v>0.3742189308030576</v>
      </c>
    </row>
    <row r="32" spans="5:11" ht="12.75">
      <c r="E32" t="s">
        <v>113</v>
      </c>
      <c r="F32" s="23">
        <f aca="true" t="shared" si="12" ref="F32:K32">F30-F31</f>
        <v>1.8878313699985654</v>
      </c>
      <c r="G32" s="23">
        <f t="shared" si="12"/>
        <v>2.615670182843129</v>
      </c>
      <c r="H32" s="23">
        <f t="shared" si="12"/>
        <v>2.25410728863139</v>
      </c>
      <c r="I32" s="23">
        <f t="shared" si="12"/>
        <v>1.8167378693356995</v>
      </c>
      <c r="J32" s="23">
        <f t="shared" si="12"/>
        <v>1.2987382974522022</v>
      </c>
      <c r="K32" s="23">
        <f t="shared" si="12"/>
        <v>0.6949780143485356</v>
      </c>
    </row>
    <row r="34" spans="5:11" ht="12.75">
      <c r="E34" t="s">
        <v>114</v>
      </c>
      <c r="G34" s="97">
        <f>G32/F11</f>
        <v>0.08000000000000093</v>
      </c>
      <c r="H34" s="97">
        <f>H32/G11</f>
        <v>0.07999999999999999</v>
      </c>
      <c r="I34" s="97">
        <f>I32/H11</f>
        <v>0.08000000000000043</v>
      </c>
      <c r="J34" s="97">
        <f>J32/I11</f>
        <v>0.08000000000000085</v>
      </c>
      <c r="K34" s="97">
        <f>K32/J11</f>
        <v>0.08000000000000058</v>
      </c>
    </row>
    <row r="36" spans="5:11" ht="12.75">
      <c r="E36" s="74" t="s">
        <v>115</v>
      </c>
      <c r="F36" s="11" t="s">
        <v>6</v>
      </c>
      <c r="G36" s="11" t="s">
        <v>7</v>
      </c>
      <c r="H36" s="11" t="s">
        <v>8</v>
      </c>
      <c r="I36" s="11" t="s">
        <v>28</v>
      </c>
      <c r="J36" s="11" t="s">
        <v>85</v>
      </c>
      <c r="K36" s="11" t="s">
        <v>86</v>
      </c>
    </row>
    <row r="37" spans="5:11" ht="12.75">
      <c r="E37" t="s">
        <v>116</v>
      </c>
      <c r="F37" s="23">
        <f aca="true" t="shared" si="13" ref="F37:K37">F12</f>
        <v>305.16152133169476</v>
      </c>
      <c r="G37" s="23">
        <f t="shared" si="13"/>
        <v>262.97918367366225</v>
      </c>
      <c r="H37" s="23">
        <f t="shared" si="13"/>
        <v>211.95275142249716</v>
      </c>
      <c r="I37" s="23">
        <f t="shared" si="13"/>
        <v>151.51946803608865</v>
      </c>
      <c r="J37" s="23">
        <f t="shared" si="13"/>
        <v>81.08076834066189</v>
      </c>
      <c r="K37" s="23">
        <f t="shared" si="13"/>
        <v>0</v>
      </c>
    </row>
    <row r="39" spans="5:11" ht="12.75">
      <c r="E39" t="s">
        <v>117</v>
      </c>
      <c r="F39" s="23">
        <f aca="true" t="shared" si="14" ref="F39:K40">F10</f>
        <v>272.46564404615606</v>
      </c>
      <c r="G39" s="23">
        <f t="shared" si="14"/>
        <v>234.80284256576988</v>
      </c>
      <c r="H39" s="23">
        <f t="shared" si="14"/>
        <v>189.24352805580102</v>
      </c>
      <c r="I39" s="23">
        <f t="shared" si="14"/>
        <v>135.2852393179363</v>
      </c>
      <c r="J39" s="23">
        <f t="shared" si="14"/>
        <v>72.39354316130526</v>
      </c>
      <c r="K39" s="23">
        <f t="shared" si="14"/>
        <v>0</v>
      </c>
    </row>
    <row r="40" spans="5:11" ht="12.75">
      <c r="E40" t="s">
        <v>118</v>
      </c>
      <c r="F40" s="23">
        <f t="shared" si="14"/>
        <v>32.69587728553873</v>
      </c>
      <c r="G40" s="23">
        <f t="shared" si="14"/>
        <v>28.176341107892384</v>
      </c>
      <c r="H40" s="23">
        <f t="shared" si="14"/>
        <v>22.709223366696122</v>
      </c>
      <c r="I40" s="23">
        <f t="shared" si="14"/>
        <v>16.234228718152355</v>
      </c>
      <c r="J40" s="23">
        <f t="shared" si="14"/>
        <v>8.68722517935663</v>
      </c>
      <c r="K40" s="23">
        <f t="shared" si="14"/>
        <v>0</v>
      </c>
    </row>
    <row r="41" spans="5:11" ht="12.75">
      <c r="E41" t="s">
        <v>119</v>
      </c>
      <c r="F41" s="23">
        <f aca="true" t="shared" si="15" ref="F41:K41">SUM(F39:F40)</f>
        <v>305.16152133169476</v>
      </c>
      <c r="G41" s="23">
        <f t="shared" si="15"/>
        <v>262.97918367366225</v>
      </c>
      <c r="H41" s="23">
        <f t="shared" si="15"/>
        <v>211.95275142249716</v>
      </c>
      <c r="I41" s="23">
        <f t="shared" si="15"/>
        <v>151.51946803608865</v>
      </c>
      <c r="J41" s="23">
        <f t="shared" si="15"/>
        <v>81.08076834066189</v>
      </c>
      <c r="K41" s="23">
        <f t="shared" si="15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44"/>
  <sheetViews>
    <sheetView workbookViewId="0" topLeftCell="A1">
      <selection activeCell="A1" sqref="A1:IV16384"/>
    </sheetView>
  </sheetViews>
  <sheetFormatPr defaultColWidth="9" defaultRowHeight="12.75"/>
  <cols>
    <col min="5" max="5" width="29.16015625" style="0" bestFit="1" customWidth="1"/>
  </cols>
  <sheetData>
    <row r="2" ht="12.75">
      <c r="B2" t="s">
        <v>120</v>
      </c>
    </row>
    <row r="3" spans="2:11" ht="15">
      <c r="B3" s="26" t="s">
        <v>84</v>
      </c>
      <c r="C3" s="8">
        <v>0.1</v>
      </c>
      <c r="F3" s="11" t="s">
        <v>6</v>
      </c>
      <c r="G3" s="11" t="s">
        <v>7</v>
      </c>
      <c r="H3" s="11" t="s">
        <v>8</v>
      </c>
      <c r="I3" s="11" t="s">
        <v>28</v>
      </c>
      <c r="J3" s="11" t="s">
        <v>85</v>
      </c>
      <c r="K3" s="11" t="s">
        <v>86</v>
      </c>
    </row>
    <row r="4" spans="2:5" ht="12.75">
      <c r="B4" s="27" t="s">
        <v>87</v>
      </c>
      <c r="C4" s="9">
        <v>0.12</v>
      </c>
      <c r="E4" t="s">
        <v>88</v>
      </c>
    </row>
    <row r="5" spans="2:11" ht="15">
      <c r="B5" s="27" t="s">
        <v>89</v>
      </c>
      <c r="C5" s="9">
        <v>0.07</v>
      </c>
      <c r="E5" t="s">
        <v>90</v>
      </c>
      <c r="F5" s="96">
        <v>310.37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</row>
    <row r="6" spans="2:11" ht="12.75">
      <c r="B6" s="27" t="s">
        <v>62</v>
      </c>
      <c r="C6" s="9">
        <v>0.35</v>
      </c>
      <c r="E6" t="s">
        <v>91</v>
      </c>
      <c r="F6" s="96">
        <v>35</v>
      </c>
      <c r="G6" s="96">
        <v>5</v>
      </c>
      <c r="H6" s="96">
        <v>5.5</v>
      </c>
      <c r="I6" s="96">
        <v>6</v>
      </c>
      <c r="J6" s="96">
        <v>6.5</v>
      </c>
      <c r="K6" s="96">
        <v>7</v>
      </c>
    </row>
    <row r="7" spans="2:11" ht="15">
      <c r="B7" s="53" t="s">
        <v>92</v>
      </c>
      <c r="C7" s="47">
        <f>C5-(C4*((C3/(1-C6))-C5))</f>
        <v>0.059938461538461545</v>
      </c>
      <c r="E7" t="s">
        <v>93</v>
      </c>
      <c r="F7" s="96">
        <v>0</v>
      </c>
      <c r="G7" s="96">
        <v>50</v>
      </c>
      <c r="H7" s="96">
        <v>55</v>
      </c>
      <c r="I7" s="96">
        <v>60</v>
      </c>
      <c r="J7" s="96">
        <v>65</v>
      </c>
      <c r="K7" s="96">
        <v>70</v>
      </c>
    </row>
    <row r="8" spans="5:11" ht="12.75">
      <c r="E8" t="s">
        <v>94</v>
      </c>
      <c r="F8" s="23">
        <f aca="true" t="shared" si="0" ref="F8:K8">F5-F6-F7</f>
        <v>275.37</v>
      </c>
      <c r="G8" s="23">
        <f t="shared" si="0"/>
        <v>-55</v>
      </c>
      <c r="H8" s="23">
        <f t="shared" si="0"/>
        <v>-60.5</v>
      </c>
      <c r="I8" s="23">
        <f t="shared" si="0"/>
        <v>-66</v>
      </c>
      <c r="J8" s="23">
        <f t="shared" si="0"/>
        <v>-71.5</v>
      </c>
      <c r="K8" s="23">
        <f t="shared" si="0"/>
        <v>-77</v>
      </c>
    </row>
    <row r="9" ht="12.75">
      <c r="B9" s="98" t="s">
        <v>121</v>
      </c>
    </row>
    <row r="10" spans="2:11" ht="15">
      <c r="B10" s="26" t="s">
        <v>84</v>
      </c>
      <c r="C10" s="8">
        <v>0.11</v>
      </c>
      <c r="E10" t="s">
        <v>122</v>
      </c>
      <c r="F10" s="23">
        <f>-NPV($C$7,G8:$K8)</f>
        <v>275.3688021170036</v>
      </c>
      <c r="G10" s="23">
        <f>-NPV($C$7,H8:$K8)</f>
        <v>236.87398447158586</v>
      </c>
      <c r="H10" s="23">
        <f>-NPV($C$7,I8:$K8)</f>
        <v>190.57184667929812</v>
      </c>
      <c r="I10" s="23">
        <f>-NPV($C$7,J8:$K8)</f>
        <v>135.9944299817988</v>
      </c>
      <c r="J10" s="23"/>
      <c r="K10" s="23"/>
    </row>
    <row r="11" spans="2:11" ht="12.75">
      <c r="B11" s="27" t="s">
        <v>87</v>
      </c>
      <c r="C11" s="9">
        <v>0.12</v>
      </c>
      <c r="E11" t="s">
        <v>123</v>
      </c>
      <c r="F11" s="23">
        <f>-NPV($C$7,G8:$K8)</f>
        <v>275.3688021170036</v>
      </c>
      <c r="G11" s="23">
        <f>-NPV($C$7,H8:$K8)</f>
        <v>236.87398447158586</v>
      </c>
      <c r="H11" s="23">
        <f>-NPV($C$7,I8:$K8)</f>
        <v>190.57184667929812</v>
      </c>
      <c r="I11" s="23">
        <f>-NPV($C$14,J8:$K8)</f>
        <v>134.21048948201027</v>
      </c>
      <c r="J11" s="23">
        <f>-NPV($C$14,K8:$K8)</f>
        <v>72.01024401473296</v>
      </c>
      <c r="K11" s="23">
        <v>0</v>
      </c>
    </row>
    <row r="12" spans="2:11" ht="15">
      <c r="B12" s="27" t="s">
        <v>89</v>
      </c>
      <c r="C12" s="9">
        <v>0.08</v>
      </c>
      <c r="E12" t="s">
        <v>124</v>
      </c>
      <c r="F12" s="23">
        <f>F10*$C$4</f>
        <v>33.044256254040434</v>
      </c>
      <c r="G12" s="23">
        <f>G10*$C$4</f>
        <v>28.4248781365903</v>
      </c>
      <c r="H12" s="23">
        <f>H10*$C$4</f>
        <v>22.868621601515773</v>
      </c>
      <c r="I12" s="23">
        <f>I10*$C$4</f>
        <v>16.319331597815854</v>
      </c>
      <c r="J12" s="23"/>
      <c r="K12" s="23"/>
    </row>
    <row r="13" spans="2:11" ht="12.75">
      <c r="B13" s="27" t="s">
        <v>62</v>
      </c>
      <c r="C13" s="9">
        <v>0.35</v>
      </c>
      <c r="E13" t="s">
        <v>125</v>
      </c>
      <c r="F13" s="23">
        <f aca="true" t="shared" si="1" ref="F13:K13">F11*$C$4</f>
        <v>33.044256254040434</v>
      </c>
      <c r="G13" s="23">
        <f t="shared" si="1"/>
        <v>28.4248781365903</v>
      </c>
      <c r="H13" s="23">
        <f t="shared" si="1"/>
        <v>22.868621601515773</v>
      </c>
      <c r="I13" s="23">
        <f t="shared" si="1"/>
        <v>16.105258737841233</v>
      </c>
      <c r="J13" s="23">
        <f t="shared" si="1"/>
        <v>8.641229281767956</v>
      </c>
      <c r="K13" s="23">
        <f t="shared" si="1"/>
        <v>0</v>
      </c>
    </row>
    <row r="14" spans="2:11" ht="15">
      <c r="B14" s="53" t="s">
        <v>92</v>
      </c>
      <c r="C14" s="47">
        <f>C12-(C11*((C10/(1-C13))-C12))</f>
        <v>0.0692923076923077</v>
      </c>
      <c r="E14" t="s">
        <v>126</v>
      </c>
      <c r="F14" s="23">
        <f>F10+F12</f>
        <v>308.41305837104403</v>
      </c>
      <c r="G14" s="23">
        <f>G10+G12</f>
        <v>265.29886260817614</v>
      </c>
      <c r="H14" s="23">
        <f>H10+H12</f>
        <v>213.4404682808139</v>
      </c>
      <c r="I14" s="23">
        <f>I10+I12</f>
        <v>152.31376157961463</v>
      </c>
      <c r="J14" s="23"/>
      <c r="K14" s="23"/>
    </row>
    <row r="15" spans="5:11" ht="12.75">
      <c r="E15" t="s">
        <v>127</v>
      </c>
      <c r="F15" s="23">
        <f aca="true" t="shared" si="2" ref="F15:K15">F13+F11</f>
        <v>308.41305837104403</v>
      </c>
      <c r="G15" s="23">
        <f t="shared" si="2"/>
        <v>265.29886260817614</v>
      </c>
      <c r="H15" s="23">
        <f t="shared" si="2"/>
        <v>213.4404682808139</v>
      </c>
      <c r="I15" s="23">
        <f t="shared" si="2"/>
        <v>150.3157482198515</v>
      </c>
      <c r="J15" s="23">
        <f t="shared" si="2"/>
        <v>80.65147329650091</v>
      </c>
      <c r="K15" s="23">
        <f t="shared" si="2"/>
        <v>0</v>
      </c>
    </row>
    <row r="16" spans="5:11" ht="12.75">
      <c r="E16" t="s">
        <v>98</v>
      </c>
      <c r="F16" s="23">
        <v>0</v>
      </c>
      <c r="G16" s="23">
        <f>F15*$C$5</f>
        <v>21.588914085973084</v>
      </c>
      <c r="H16" s="23">
        <f>G15*$C$5</f>
        <v>18.570920382572332</v>
      </c>
      <c r="I16" s="23">
        <f>H15*$C$5+(I15-I14)</f>
        <v>12.942819419893853</v>
      </c>
      <c r="J16" s="23">
        <f>I15*$C$12</f>
        <v>12.025259857588122</v>
      </c>
      <c r="K16" s="23">
        <f>J15*$C$12</f>
        <v>6.452117863720073</v>
      </c>
    </row>
    <row r="17" spans="5:11" ht="12.75">
      <c r="E17" t="s">
        <v>99</v>
      </c>
      <c r="F17" s="23">
        <f>F5-F6-F7+F16-F11</f>
        <v>0.0011978829963936732</v>
      </c>
      <c r="G17" s="23">
        <f>G5-G6-G7+G16-(G11-F11)</f>
        <v>5.0837317313908414</v>
      </c>
      <c r="H17" s="23">
        <f>H5-H6-H7+H16-(H11-G11)</f>
        <v>4.37305817486007</v>
      </c>
      <c r="I17" s="23">
        <f>I5-I6-I7+I16-(I11-H11)</f>
        <v>3.304176617181696</v>
      </c>
      <c r="J17" s="23">
        <f>J5-J6-J7+J16-(J11-I11)</f>
        <v>2.7255053248654377</v>
      </c>
      <c r="K17" s="23">
        <f>K5-K6-K7+K16-(K11-J11)</f>
        <v>1.4623618784530379</v>
      </c>
    </row>
    <row r="18" spans="5:11" ht="12.75">
      <c r="E18" t="s">
        <v>100</v>
      </c>
      <c r="F18" s="23">
        <f aca="true" t="shared" si="3" ref="F18:K18">F17*$C$6</f>
        <v>0.0004192590487377856</v>
      </c>
      <c r="G18" s="23">
        <f t="shared" si="3"/>
        <v>1.7793061059867943</v>
      </c>
      <c r="H18" s="23">
        <f t="shared" si="3"/>
        <v>1.5305703612010244</v>
      </c>
      <c r="I18" s="23">
        <f t="shared" si="3"/>
        <v>1.1564618160135935</v>
      </c>
      <c r="J18" s="23">
        <f t="shared" si="3"/>
        <v>0.9539268637029031</v>
      </c>
      <c r="K18" s="23">
        <f t="shared" si="3"/>
        <v>0.5118266574585633</v>
      </c>
    </row>
    <row r="19" spans="5:11" ht="12.75">
      <c r="E19" t="s">
        <v>101</v>
      </c>
      <c r="F19" s="23">
        <f>-F12-(F18-F17)</f>
        <v>-33.04347763009278</v>
      </c>
      <c r="G19" s="23">
        <f>(F12-G12)-(G18-G17)</f>
        <v>7.923803742854179</v>
      </c>
      <c r="H19" s="23">
        <f>(G12-H12)-(H18-H17)</f>
        <v>8.398744348733572</v>
      </c>
      <c r="I19" s="23">
        <f>(H12-I12)-(I18-I17)</f>
        <v>8.697004804868023</v>
      </c>
      <c r="J19" s="23">
        <f>(I12-J12)-(J18-J17)</f>
        <v>18.090910058978388</v>
      </c>
      <c r="K19" s="23">
        <f>(J12-K12)-(K18-K17)</f>
        <v>0.9505352209944746</v>
      </c>
    </row>
    <row r="21" spans="5:6" ht="12.75">
      <c r="E21" t="s">
        <v>102</v>
      </c>
      <c r="F21" s="58">
        <f>IRR(F19:K19)</f>
        <v>0.10697065804322309</v>
      </c>
    </row>
    <row r="23" spans="5:11" ht="12.75">
      <c r="E23" s="74" t="s">
        <v>103</v>
      </c>
      <c r="F23" s="11" t="s">
        <v>6</v>
      </c>
      <c r="G23" s="11" t="s">
        <v>7</v>
      </c>
      <c r="H23" s="11" t="s">
        <v>8</v>
      </c>
      <c r="I23" s="11" t="s">
        <v>28</v>
      </c>
      <c r="J23" s="11" t="s">
        <v>85</v>
      </c>
      <c r="K23" s="11" t="s">
        <v>86</v>
      </c>
    </row>
    <row r="24" spans="5:11" ht="12.75">
      <c r="E24" t="s">
        <v>104</v>
      </c>
      <c r="F24" s="23">
        <f aca="true" t="shared" si="4" ref="F24:K24">F5</f>
        <v>310.37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</row>
    <row r="25" spans="5:11" ht="12.75">
      <c r="E25" t="s">
        <v>105</v>
      </c>
      <c r="F25" s="23">
        <f aca="true" t="shared" si="5" ref="F25:K25">F16</f>
        <v>0</v>
      </c>
      <c r="G25" s="23">
        <f t="shared" si="5"/>
        <v>21.588914085973084</v>
      </c>
      <c r="H25" s="23">
        <f t="shared" si="5"/>
        <v>18.570920382572332</v>
      </c>
      <c r="I25" s="23">
        <f t="shared" si="5"/>
        <v>12.942819419893853</v>
      </c>
      <c r="J25" s="23">
        <f t="shared" si="5"/>
        <v>12.025259857588122</v>
      </c>
      <c r="K25" s="23">
        <f t="shared" si="5"/>
        <v>6.452117863720073</v>
      </c>
    </row>
    <row r="26" spans="5:11" ht="12.75">
      <c r="E26" t="s">
        <v>106</v>
      </c>
      <c r="F26" s="23">
        <f aca="true" t="shared" si="6" ref="F26:K26">SUM(F24:F25)</f>
        <v>310.37</v>
      </c>
      <c r="G26" s="23">
        <f t="shared" si="6"/>
        <v>21.588914085973084</v>
      </c>
      <c r="H26" s="23">
        <f t="shared" si="6"/>
        <v>18.570920382572332</v>
      </c>
      <c r="I26" s="23">
        <f t="shared" si="6"/>
        <v>12.942819419893853</v>
      </c>
      <c r="J26" s="23">
        <f t="shared" si="6"/>
        <v>12.025259857588122</v>
      </c>
      <c r="K26" s="23">
        <f t="shared" si="6"/>
        <v>6.452117863720073</v>
      </c>
    </row>
    <row r="28" spans="5:11" ht="12.75">
      <c r="E28" t="s">
        <v>107</v>
      </c>
      <c r="F28" s="23">
        <f aca="true" t="shared" si="7" ref="F28:K28">F7</f>
        <v>0</v>
      </c>
      <c r="G28" s="23">
        <f t="shared" si="7"/>
        <v>50</v>
      </c>
      <c r="H28" s="23">
        <f t="shared" si="7"/>
        <v>55</v>
      </c>
      <c r="I28" s="23">
        <f t="shared" si="7"/>
        <v>60</v>
      </c>
      <c r="J28" s="23">
        <f t="shared" si="7"/>
        <v>65</v>
      </c>
      <c r="K28" s="23">
        <f t="shared" si="7"/>
        <v>70</v>
      </c>
    </row>
    <row r="29" spans="5:11" ht="12.75">
      <c r="E29" t="s">
        <v>108</v>
      </c>
      <c r="F29" s="23">
        <f aca="true" t="shared" si="8" ref="F29:K29">F6</f>
        <v>35</v>
      </c>
      <c r="G29" s="23">
        <f t="shared" si="8"/>
        <v>5</v>
      </c>
      <c r="H29" s="23">
        <f t="shared" si="8"/>
        <v>5.5</v>
      </c>
      <c r="I29" s="23">
        <f t="shared" si="8"/>
        <v>6</v>
      </c>
      <c r="J29" s="23">
        <f t="shared" si="8"/>
        <v>6.5</v>
      </c>
      <c r="K29" s="23">
        <f t="shared" si="8"/>
        <v>7</v>
      </c>
    </row>
    <row r="30" spans="5:11" ht="12.75">
      <c r="E30" t="s">
        <v>109</v>
      </c>
      <c r="F30" s="23">
        <f>F11</f>
        <v>275.3688021170036</v>
      </c>
      <c r="G30" s="23">
        <f>G11-F11</f>
        <v>-38.494817645417754</v>
      </c>
      <c r="H30" s="23">
        <f>H11-G11</f>
        <v>-46.30213779228774</v>
      </c>
      <c r="I30" s="23">
        <f>I11-H11</f>
        <v>-56.361357197287845</v>
      </c>
      <c r="J30" s="23">
        <f>J11-I11</f>
        <v>-62.20024546727731</v>
      </c>
      <c r="K30" s="23">
        <f>K11-J11</f>
        <v>-72.01024401473296</v>
      </c>
    </row>
    <row r="31" spans="5:11" ht="12.75">
      <c r="E31" t="s">
        <v>110</v>
      </c>
      <c r="F31" s="23">
        <f aca="true" t="shared" si="9" ref="F31:K31">SUM(F28:F30)</f>
        <v>310.3688021170036</v>
      </c>
      <c r="G31" s="23">
        <f t="shared" si="9"/>
        <v>16.505182354582246</v>
      </c>
      <c r="H31" s="23">
        <f t="shared" si="9"/>
        <v>14.197862207712262</v>
      </c>
      <c r="I31" s="23">
        <f t="shared" si="9"/>
        <v>9.638642802712155</v>
      </c>
      <c r="J31" s="23">
        <f t="shared" si="9"/>
        <v>9.299754532722687</v>
      </c>
      <c r="K31" s="23">
        <f t="shared" si="9"/>
        <v>4.989755985267038</v>
      </c>
    </row>
    <row r="33" spans="5:11" ht="12.75">
      <c r="E33" t="s">
        <v>111</v>
      </c>
      <c r="F33" s="23">
        <f aca="true" t="shared" si="10" ref="F33:K33">F26-F31</f>
        <v>0.0011978829963936732</v>
      </c>
      <c r="G33" s="23">
        <f t="shared" si="10"/>
        <v>5.083731731390838</v>
      </c>
      <c r="H33" s="23">
        <f t="shared" si="10"/>
        <v>4.37305817486007</v>
      </c>
      <c r="I33" s="23">
        <f t="shared" si="10"/>
        <v>3.3041766171816978</v>
      </c>
      <c r="J33" s="23">
        <f t="shared" si="10"/>
        <v>2.725505324865434</v>
      </c>
      <c r="K33" s="23">
        <f t="shared" si="10"/>
        <v>1.4623618784530343</v>
      </c>
    </row>
    <row r="34" spans="5:11" ht="12.75">
      <c r="E34" t="s">
        <v>112</v>
      </c>
      <c r="F34" s="23">
        <f aca="true" t="shared" si="11" ref="F34:K34">F33*$C$6</f>
        <v>0.0004192590487377856</v>
      </c>
      <c r="G34" s="23">
        <f t="shared" si="11"/>
        <v>1.7793061059867932</v>
      </c>
      <c r="H34" s="23">
        <f t="shared" si="11"/>
        <v>1.5305703612010244</v>
      </c>
      <c r="I34" s="23">
        <f t="shared" si="11"/>
        <v>1.1564618160135942</v>
      </c>
      <c r="J34" s="23">
        <f t="shared" si="11"/>
        <v>0.9539268637029019</v>
      </c>
      <c r="K34" s="23">
        <f t="shared" si="11"/>
        <v>0.511826657458562</v>
      </c>
    </row>
    <row r="35" spans="5:11" ht="12.75">
      <c r="E35" t="s">
        <v>113</v>
      </c>
      <c r="F35" s="23">
        <f aca="true" t="shared" si="12" ref="F35:K35">F33-F34</f>
        <v>0.0007786239476558876</v>
      </c>
      <c r="G35" s="23">
        <f t="shared" si="12"/>
        <v>3.3044256254040447</v>
      </c>
      <c r="H35" s="23">
        <f t="shared" si="12"/>
        <v>2.8424878136590452</v>
      </c>
      <c r="I35" s="23">
        <f t="shared" si="12"/>
        <v>2.1477148011681035</v>
      </c>
      <c r="J35" s="23">
        <f t="shared" si="12"/>
        <v>1.7715784611625323</v>
      </c>
      <c r="K35" s="23">
        <f t="shared" si="12"/>
        <v>0.9505352209944723</v>
      </c>
    </row>
    <row r="37" spans="5:11" ht="12.75">
      <c r="E37" t="s">
        <v>114</v>
      </c>
      <c r="G37" s="97">
        <f>G35/F13</f>
        <v>0.10000000000000005</v>
      </c>
      <c r="H37" s="97">
        <f>H35/G13</f>
        <v>0.10000000000000053</v>
      </c>
      <c r="I37" s="97">
        <f>I35/H13</f>
        <v>0.09391535872130348</v>
      </c>
      <c r="J37" s="97">
        <f>J35/I13</f>
        <v>0.10999999999999979</v>
      </c>
      <c r="K37" s="97">
        <f>K35/J13</f>
        <v>0.10999999999999967</v>
      </c>
    </row>
    <row r="39" spans="5:11" ht="12.75">
      <c r="E39" s="74" t="s">
        <v>115</v>
      </c>
      <c r="F39" s="11" t="s">
        <v>6</v>
      </c>
      <c r="G39" s="11" t="s">
        <v>7</v>
      </c>
      <c r="H39" s="11" t="s">
        <v>8</v>
      </c>
      <c r="I39" s="11" t="s">
        <v>28</v>
      </c>
      <c r="J39" s="11" t="s">
        <v>85</v>
      </c>
      <c r="K39" s="11" t="s">
        <v>86</v>
      </c>
    </row>
    <row r="40" spans="5:11" ht="12.75">
      <c r="E40" t="s">
        <v>116</v>
      </c>
      <c r="F40" s="23">
        <f aca="true" t="shared" si="13" ref="F40:K40">F15</f>
        <v>308.41305837104403</v>
      </c>
      <c r="G40" s="23">
        <f t="shared" si="13"/>
        <v>265.29886260817614</v>
      </c>
      <c r="H40" s="23">
        <f t="shared" si="13"/>
        <v>213.4404682808139</v>
      </c>
      <c r="I40" s="23">
        <f t="shared" si="13"/>
        <v>150.3157482198515</v>
      </c>
      <c r="J40" s="23">
        <f t="shared" si="13"/>
        <v>80.65147329650091</v>
      </c>
      <c r="K40" s="23">
        <f t="shared" si="13"/>
        <v>0</v>
      </c>
    </row>
    <row r="42" spans="5:11" ht="12.75">
      <c r="E42" t="s">
        <v>117</v>
      </c>
      <c r="F42" s="23">
        <f aca="true" t="shared" si="14" ref="F42:K42">F11</f>
        <v>275.3688021170036</v>
      </c>
      <c r="G42" s="23">
        <f t="shared" si="14"/>
        <v>236.87398447158586</v>
      </c>
      <c r="H42" s="23">
        <f t="shared" si="14"/>
        <v>190.57184667929812</v>
      </c>
      <c r="I42" s="23">
        <f t="shared" si="14"/>
        <v>134.21048948201027</v>
      </c>
      <c r="J42" s="23">
        <f t="shared" si="14"/>
        <v>72.01024401473296</v>
      </c>
      <c r="K42" s="23">
        <f t="shared" si="14"/>
        <v>0</v>
      </c>
    </row>
    <row r="43" spans="5:11" ht="12.75">
      <c r="E43" t="s">
        <v>118</v>
      </c>
      <c r="F43" s="23">
        <f aca="true" t="shared" si="15" ref="F43:K43">F13</f>
        <v>33.044256254040434</v>
      </c>
      <c r="G43" s="23">
        <f t="shared" si="15"/>
        <v>28.4248781365903</v>
      </c>
      <c r="H43" s="23">
        <f t="shared" si="15"/>
        <v>22.868621601515773</v>
      </c>
      <c r="I43" s="23">
        <f t="shared" si="15"/>
        <v>16.105258737841233</v>
      </c>
      <c r="J43" s="23">
        <f t="shared" si="15"/>
        <v>8.641229281767956</v>
      </c>
      <c r="K43" s="23">
        <f t="shared" si="15"/>
        <v>0</v>
      </c>
    </row>
    <row r="44" spans="5:11" ht="12.75">
      <c r="E44" t="s">
        <v>119</v>
      </c>
      <c r="F44" s="23">
        <f aca="true" t="shared" si="16" ref="F44:K44">SUM(F42:F43)</f>
        <v>308.41305837104403</v>
      </c>
      <c r="G44" s="23">
        <f t="shared" si="16"/>
        <v>265.29886260817614</v>
      </c>
      <c r="H44" s="23">
        <f t="shared" si="16"/>
        <v>213.4404682808139</v>
      </c>
      <c r="I44" s="23">
        <f t="shared" si="16"/>
        <v>150.3157482198515</v>
      </c>
      <c r="J44" s="23">
        <f t="shared" si="16"/>
        <v>80.65147329650091</v>
      </c>
      <c r="K44" s="23">
        <f t="shared" si="16"/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1"/>
  <sheetViews>
    <sheetView workbookViewId="0" topLeftCell="A1">
      <selection activeCell="C20" sqref="C20"/>
    </sheetView>
  </sheetViews>
  <sheetFormatPr defaultColWidth="9.33203125" defaultRowHeight="12.75"/>
  <cols>
    <col min="5" max="5" width="29.16015625" style="0" bestFit="1" customWidth="1"/>
  </cols>
  <sheetData>
    <row r="2" ht="12.75">
      <c r="B2" t="s">
        <v>120</v>
      </c>
    </row>
    <row r="3" spans="2:11" ht="15">
      <c r="B3" s="26" t="s">
        <v>84</v>
      </c>
      <c r="C3" s="8">
        <v>0.1</v>
      </c>
      <c r="F3" s="11" t="s">
        <v>6</v>
      </c>
      <c r="G3" s="11" t="s">
        <v>7</v>
      </c>
      <c r="H3" s="11" t="s">
        <v>8</v>
      </c>
      <c r="I3" s="11" t="s">
        <v>28</v>
      </c>
      <c r="J3" s="11" t="s">
        <v>85</v>
      </c>
      <c r="K3" s="11" t="s">
        <v>86</v>
      </c>
    </row>
    <row r="4" spans="2:5" ht="12.75">
      <c r="B4" s="27" t="s">
        <v>87</v>
      </c>
      <c r="C4" s="9">
        <v>0.12</v>
      </c>
      <c r="E4" t="s">
        <v>88</v>
      </c>
    </row>
    <row r="5" spans="2:11" ht="15">
      <c r="B5" s="27" t="s">
        <v>89</v>
      </c>
      <c r="C5" s="9">
        <v>0.07</v>
      </c>
      <c r="E5" t="s">
        <v>90</v>
      </c>
      <c r="F5" s="96">
        <v>310.37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</row>
    <row r="6" spans="2:11" ht="12.75">
      <c r="B6" s="27" t="s">
        <v>62</v>
      </c>
      <c r="C6" s="9">
        <v>0.35</v>
      </c>
      <c r="E6" t="s">
        <v>91</v>
      </c>
      <c r="F6" s="96">
        <v>35</v>
      </c>
      <c r="G6" s="96">
        <v>5</v>
      </c>
      <c r="H6" s="96">
        <v>5.5</v>
      </c>
      <c r="I6" s="96">
        <v>6</v>
      </c>
      <c r="J6" s="96">
        <v>6.5</v>
      </c>
      <c r="K6" s="96">
        <v>7</v>
      </c>
    </row>
    <row r="7" spans="2:11" ht="15">
      <c r="B7" s="53" t="s">
        <v>92</v>
      </c>
      <c r="C7" s="47">
        <f>C5-(C4*((C3/(1-C6))-C5))</f>
        <v>0.059938461538461545</v>
      </c>
      <c r="E7" t="s">
        <v>93</v>
      </c>
      <c r="F7" s="96">
        <v>0</v>
      </c>
      <c r="G7" s="96">
        <v>50</v>
      </c>
      <c r="H7" s="96">
        <v>55</v>
      </c>
      <c r="I7" s="96">
        <v>60</v>
      </c>
      <c r="J7" s="96">
        <v>65</v>
      </c>
      <c r="K7" s="96">
        <v>70</v>
      </c>
    </row>
    <row r="8" spans="5:11" ht="12.75">
      <c r="E8" t="s">
        <v>94</v>
      </c>
      <c r="F8" s="23">
        <f aca="true" t="shared" si="0" ref="F8:K8">F5-F6-F7</f>
        <v>275.37</v>
      </c>
      <c r="G8" s="23">
        <f t="shared" si="0"/>
        <v>-55</v>
      </c>
      <c r="H8" s="23">
        <f t="shared" si="0"/>
        <v>-60.5</v>
      </c>
      <c r="I8" s="23">
        <f t="shared" si="0"/>
        <v>-66</v>
      </c>
      <c r="J8" s="23">
        <f t="shared" si="0"/>
        <v>-71.5</v>
      </c>
      <c r="K8" s="23">
        <f t="shared" si="0"/>
        <v>-77</v>
      </c>
    </row>
    <row r="9" ht="12.75">
      <c r="B9" s="98" t="s">
        <v>121</v>
      </c>
    </row>
    <row r="10" spans="2:11" ht="15">
      <c r="B10" s="26" t="s">
        <v>84</v>
      </c>
      <c r="C10" s="8">
        <v>0.12</v>
      </c>
      <c r="E10" t="s">
        <v>95</v>
      </c>
      <c r="F10" s="23">
        <f>-NPV($C$7,G8:$K8)</f>
        <v>275.3688021170036</v>
      </c>
      <c r="G10" s="23">
        <f>-NPV($C$7,H8:$K8)</f>
        <v>236.87398447158586</v>
      </c>
      <c r="H10" s="23">
        <f>-NPV($C$7,I8:$K8)</f>
        <v>190.57184667929812</v>
      </c>
      <c r="I10" s="23">
        <f>-NPV($C$14,J8:$K8)</f>
        <v>136.7102480893467</v>
      </c>
      <c r="J10" s="23">
        <f>-NPV($C$14,K8:$K8)</f>
        <v>72.89967373572594</v>
      </c>
      <c r="K10" s="23">
        <v>0</v>
      </c>
    </row>
    <row r="11" spans="2:11" ht="12.75">
      <c r="B11" s="27" t="s">
        <v>87</v>
      </c>
      <c r="C11" s="9">
        <v>0.12</v>
      </c>
      <c r="E11" t="s">
        <v>96</v>
      </c>
      <c r="F11" s="23">
        <f aca="true" t="shared" si="1" ref="F11:K11">F10*$C$4</f>
        <v>33.044256254040434</v>
      </c>
      <c r="G11" s="23">
        <f t="shared" si="1"/>
        <v>28.4248781365903</v>
      </c>
      <c r="H11" s="23">
        <f t="shared" si="1"/>
        <v>22.868621601515773</v>
      </c>
      <c r="I11" s="23">
        <f t="shared" si="1"/>
        <v>16.405229770721604</v>
      </c>
      <c r="J11" s="23">
        <f t="shared" si="1"/>
        <v>8.747960848287113</v>
      </c>
      <c r="K11" s="23">
        <f t="shared" si="1"/>
        <v>0</v>
      </c>
    </row>
    <row r="12" spans="2:11" ht="15">
      <c r="B12" s="27" t="s">
        <v>89</v>
      </c>
      <c r="C12" s="9">
        <v>0.07</v>
      </c>
      <c r="E12" t="s">
        <v>97</v>
      </c>
      <c r="F12" s="23">
        <f aca="true" t="shared" si="2" ref="F12:K12">F10+F11</f>
        <v>308.41305837104403</v>
      </c>
      <c r="G12" s="23">
        <f t="shared" si="2"/>
        <v>265.29886260817614</v>
      </c>
      <c r="H12" s="23">
        <f t="shared" si="2"/>
        <v>213.4404682808139</v>
      </c>
      <c r="I12" s="23">
        <f t="shared" si="2"/>
        <v>153.1154778600683</v>
      </c>
      <c r="J12" s="23">
        <f t="shared" si="2"/>
        <v>81.64763458401305</v>
      </c>
      <c r="K12" s="23">
        <f t="shared" si="2"/>
        <v>0</v>
      </c>
    </row>
    <row r="13" spans="2:11" ht="12.75">
      <c r="B13" s="27" t="s">
        <v>62</v>
      </c>
      <c r="C13" s="9">
        <v>0.35</v>
      </c>
      <c r="E13" t="s">
        <v>98</v>
      </c>
      <c r="F13" s="23">
        <v>0</v>
      </c>
      <c r="G13" s="23">
        <f>F12*$C$5</f>
        <v>21.588914085973084</v>
      </c>
      <c r="H13" s="23">
        <f>G12*$C$5</f>
        <v>18.570920382572332</v>
      </c>
      <c r="I13" s="23">
        <f>H12*$C$5</f>
        <v>14.940832779656974</v>
      </c>
      <c r="J13" s="23">
        <f>I12*$C$12</f>
        <v>10.718083450204782</v>
      </c>
      <c r="K13" s="23">
        <f>J12*$C$12</f>
        <v>5.715334420880914</v>
      </c>
    </row>
    <row r="14" spans="2:11" ht="15">
      <c r="B14" s="53" t="s">
        <v>92</v>
      </c>
      <c r="C14" s="47">
        <f>C12-(C11*((C10/(1-C13))-C12))</f>
        <v>0.056246153846153855</v>
      </c>
      <c r="E14" t="s">
        <v>99</v>
      </c>
      <c r="F14" s="23">
        <f>F5-F6-F7+F13-F10</f>
        <v>0.0011978829963936732</v>
      </c>
      <c r="G14" s="23">
        <f>G5-G6-G7+G13-(G10-F10)</f>
        <v>5.0837317313908414</v>
      </c>
      <c r="H14" s="23">
        <f>H5-H6-H7+H13-(H10-G10)</f>
        <v>4.37305817486007</v>
      </c>
      <c r="I14" s="23">
        <f>I5-I6-I7+I13-(I10-H10)</f>
        <v>2.8024313696083993</v>
      </c>
      <c r="J14" s="23">
        <f>J5-J6-J7+J13-(J10-I10)</f>
        <v>3.0286578038255314</v>
      </c>
      <c r="K14" s="23">
        <f>K5-K6-K7+K13-(K10-J10)</f>
        <v>1.615008156606848</v>
      </c>
    </row>
    <row r="15" spans="5:11" ht="12.75">
      <c r="E15" t="s">
        <v>100</v>
      </c>
      <c r="F15" s="23">
        <f aca="true" t="shared" si="3" ref="F15:K15">F14*$C$6</f>
        <v>0.0004192590487377856</v>
      </c>
      <c r="G15" s="23">
        <f t="shared" si="3"/>
        <v>1.7793061059867943</v>
      </c>
      <c r="H15" s="23">
        <f t="shared" si="3"/>
        <v>1.5305703612010244</v>
      </c>
      <c r="I15" s="23">
        <f t="shared" si="3"/>
        <v>0.9808509793629397</v>
      </c>
      <c r="J15" s="23">
        <f t="shared" si="3"/>
        <v>1.0600302313389358</v>
      </c>
      <c r="K15" s="23">
        <f t="shared" si="3"/>
        <v>0.5652528548123967</v>
      </c>
    </row>
    <row r="16" spans="5:11" ht="12.75">
      <c r="E16" t="s">
        <v>101</v>
      </c>
      <c r="F16" s="23">
        <f>-F11-(F15-F14)</f>
        <v>-33.04347763009278</v>
      </c>
      <c r="G16" s="23">
        <f>(F11-G11)-(G15-G14)</f>
        <v>7.923803742854179</v>
      </c>
      <c r="H16" s="23">
        <f>(G11-H11)-(H15-H14)</f>
        <v>8.398744348733572</v>
      </c>
      <c r="I16" s="23">
        <f>(H11-I11)-(I15-I14)</f>
        <v>8.284972221039629</v>
      </c>
      <c r="J16" s="23">
        <f>(I11-J11)-(J15-J14)</f>
        <v>9.625896494921086</v>
      </c>
      <c r="K16" s="23">
        <f>(J11-K11)-(K15-K14)</f>
        <v>9.797716150081564</v>
      </c>
    </row>
    <row r="18" spans="5:6" ht="12.75">
      <c r="E18" t="s">
        <v>102</v>
      </c>
      <c r="F18" s="58">
        <f>IRR(F16:K16)</f>
        <v>0.09981697233522033</v>
      </c>
    </row>
    <row r="20" spans="5:11" ht="12.75">
      <c r="E20" s="74" t="s">
        <v>103</v>
      </c>
      <c r="F20" s="11" t="s">
        <v>6</v>
      </c>
      <c r="G20" s="11" t="s">
        <v>7</v>
      </c>
      <c r="H20" s="11" t="s">
        <v>8</v>
      </c>
      <c r="I20" s="11" t="s">
        <v>28</v>
      </c>
      <c r="J20" s="11" t="s">
        <v>85</v>
      </c>
      <c r="K20" s="11" t="s">
        <v>86</v>
      </c>
    </row>
    <row r="21" spans="5:11" ht="12.75">
      <c r="E21" t="s">
        <v>104</v>
      </c>
      <c r="F21" s="23">
        <f aca="true" t="shared" si="4" ref="F21:K21">F5</f>
        <v>310.37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</row>
    <row r="22" spans="5:11" ht="12.75">
      <c r="E22" t="s">
        <v>105</v>
      </c>
      <c r="F22" s="23">
        <f aca="true" t="shared" si="5" ref="F22:K22">F13</f>
        <v>0</v>
      </c>
      <c r="G22" s="23">
        <f t="shared" si="5"/>
        <v>21.588914085973084</v>
      </c>
      <c r="H22" s="23">
        <f t="shared" si="5"/>
        <v>18.570920382572332</v>
      </c>
      <c r="I22" s="23">
        <f t="shared" si="5"/>
        <v>14.940832779656974</v>
      </c>
      <c r="J22" s="23">
        <f t="shared" si="5"/>
        <v>10.718083450204782</v>
      </c>
      <c r="K22" s="23">
        <f t="shared" si="5"/>
        <v>5.715334420880914</v>
      </c>
    </row>
    <row r="23" spans="5:11" ht="12.75">
      <c r="E23" t="s">
        <v>106</v>
      </c>
      <c r="F23" s="23">
        <f aca="true" t="shared" si="6" ref="F23:K23">SUM(F21:F22)</f>
        <v>310.37</v>
      </c>
      <c r="G23" s="23">
        <f t="shared" si="6"/>
        <v>21.588914085973084</v>
      </c>
      <c r="H23" s="23">
        <f t="shared" si="6"/>
        <v>18.570920382572332</v>
      </c>
      <c r="I23" s="23">
        <f t="shared" si="6"/>
        <v>14.940832779656974</v>
      </c>
      <c r="J23" s="23">
        <f t="shared" si="6"/>
        <v>10.718083450204782</v>
      </c>
      <c r="K23" s="23">
        <f t="shared" si="6"/>
        <v>5.715334420880914</v>
      </c>
    </row>
    <row r="25" spans="5:11" ht="12.75">
      <c r="E25" t="s">
        <v>107</v>
      </c>
      <c r="F25" s="23">
        <f aca="true" t="shared" si="7" ref="F25:K25">F7</f>
        <v>0</v>
      </c>
      <c r="G25" s="23">
        <f t="shared" si="7"/>
        <v>50</v>
      </c>
      <c r="H25" s="23">
        <f t="shared" si="7"/>
        <v>55</v>
      </c>
      <c r="I25" s="23">
        <f t="shared" si="7"/>
        <v>60</v>
      </c>
      <c r="J25" s="23">
        <f t="shared" si="7"/>
        <v>65</v>
      </c>
      <c r="K25" s="23">
        <f t="shared" si="7"/>
        <v>70</v>
      </c>
    </row>
    <row r="26" spans="5:11" ht="12.75">
      <c r="E26" t="s">
        <v>108</v>
      </c>
      <c r="F26" s="23">
        <f aca="true" t="shared" si="8" ref="F26:K26">F6</f>
        <v>35</v>
      </c>
      <c r="G26" s="23">
        <f t="shared" si="8"/>
        <v>5</v>
      </c>
      <c r="H26" s="23">
        <f t="shared" si="8"/>
        <v>5.5</v>
      </c>
      <c r="I26" s="23">
        <f t="shared" si="8"/>
        <v>6</v>
      </c>
      <c r="J26" s="23">
        <f t="shared" si="8"/>
        <v>6.5</v>
      </c>
      <c r="K26" s="23">
        <f t="shared" si="8"/>
        <v>7</v>
      </c>
    </row>
    <row r="27" spans="5:11" ht="12.75">
      <c r="E27" t="s">
        <v>109</v>
      </c>
      <c r="F27" s="23">
        <f>F10</f>
        <v>275.3688021170036</v>
      </c>
      <c r="G27" s="23">
        <f>G10-F10</f>
        <v>-38.494817645417754</v>
      </c>
      <c r="H27" s="23">
        <f>H10-G10</f>
        <v>-46.30213779228774</v>
      </c>
      <c r="I27" s="23">
        <f>I10-H10</f>
        <v>-53.86159858995143</v>
      </c>
      <c r="J27" s="23">
        <f>J10-I10</f>
        <v>-63.81057435362075</v>
      </c>
      <c r="K27" s="23">
        <f>K10-J10</f>
        <v>-72.89967373572594</v>
      </c>
    </row>
    <row r="28" spans="5:11" ht="12.75">
      <c r="E28" t="s">
        <v>110</v>
      </c>
      <c r="F28" s="23">
        <f aca="true" t="shared" si="9" ref="F28:K28">SUM(F25:F27)</f>
        <v>310.3688021170036</v>
      </c>
      <c r="G28" s="23">
        <f t="shared" si="9"/>
        <v>16.505182354582246</v>
      </c>
      <c r="H28" s="23">
        <f t="shared" si="9"/>
        <v>14.197862207712262</v>
      </c>
      <c r="I28" s="23">
        <f t="shared" si="9"/>
        <v>12.138401410048573</v>
      </c>
      <c r="J28" s="23">
        <f t="shared" si="9"/>
        <v>7.689425646379249</v>
      </c>
      <c r="K28" s="23">
        <f t="shared" si="9"/>
        <v>4.100326264274059</v>
      </c>
    </row>
    <row r="30" spans="5:11" ht="12.75">
      <c r="E30" t="s">
        <v>111</v>
      </c>
      <c r="F30" s="23">
        <f aca="true" t="shared" si="10" ref="F30:K30">F23-F28</f>
        <v>0.0011978829963936732</v>
      </c>
      <c r="G30" s="23">
        <f t="shared" si="10"/>
        <v>5.083731731390838</v>
      </c>
      <c r="H30" s="23">
        <f t="shared" si="10"/>
        <v>4.37305817486007</v>
      </c>
      <c r="I30" s="23">
        <f t="shared" si="10"/>
        <v>2.802431369608401</v>
      </c>
      <c r="J30" s="23">
        <f t="shared" si="10"/>
        <v>3.028657803825533</v>
      </c>
      <c r="K30" s="23">
        <f t="shared" si="10"/>
        <v>1.6150081566068542</v>
      </c>
    </row>
    <row r="31" spans="5:11" ht="12.75">
      <c r="E31" t="s">
        <v>112</v>
      </c>
      <c r="F31" s="23">
        <f aca="true" t="shared" si="11" ref="F31:K31">F30*$C$6</f>
        <v>0.0004192590487377856</v>
      </c>
      <c r="G31" s="23">
        <f t="shared" si="11"/>
        <v>1.7793061059867932</v>
      </c>
      <c r="H31" s="23">
        <f t="shared" si="11"/>
        <v>1.5305703612010244</v>
      </c>
      <c r="I31" s="23">
        <f t="shared" si="11"/>
        <v>0.9808509793629403</v>
      </c>
      <c r="J31" s="23">
        <f t="shared" si="11"/>
        <v>1.0600302313389365</v>
      </c>
      <c r="K31" s="23">
        <f t="shared" si="11"/>
        <v>0.565252854812399</v>
      </c>
    </row>
    <row r="32" spans="5:11" ht="12.75">
      <c r="E32" t="s">
        <v>113</v>
      </c>
      <c r="F32" s="23">
        <f aca="true" t="shared" si="12" ref="F32:K32">F30-F31</f>
        <v>0.0007786239476558876</v>
      </c>
      <c r="G32" s="23">
        <f t="shared" si="12"/>
        <v>3.3044256254040447</v>
      </c>
      <c r="H32" s="23">
        <f t="shared" si="12"/>
        <v>2.8424878136590452</v>
      </c>
      <c r="I32" s="23">
        <f t="shared" si="12"/>
        <v>1.8215803902454608</v>
      </c>
      <c r="J32" s="23">
        <f t="shared" si="12"/>
        <v>1.9686275724865967</v>
      </c>
      <c r="K32" s="23">
        <f t="shared" si="12"/>
        <v>1.0497553017944552</v>
      </c>
    </row>
    <row r="34" spans="5:11" ht="12.75">
      <c r="E34" t="s">
        <v>114</v>
      </c>
      <c r="G34" s="97">
        <f>G32/F11</f>
        <v>0.10000000000000005</v>
      </c>
      <c r="H34" s="97">
        <f>H32/G11</f>
        <v>0.10000000000000053</v>
      </c>
      <c r="I34" s="97">
        <f>I32/H11</f>
        <v>0.07965414015704048</v>
      </c>
      <c r="J34" s="97">
        <f>J32/I11</f>
        <v>0.12000000000000026</v>
      </c>
      <c r="K34" s="97">
        <f>K32/J11</f>
        <v>0.12000000000000019</v>
      </c>
    </row>
    <row r="36" spans="5:11" ht="12.75">
      <c r="E36" s="74" t="s">
        <v>115</v>
      </c>
      <c r="F36" s="11" t="s">
        <v>6</v>
      </c>
      <c r="G36" s="11" t="s">
        <v>7</v>
      </c>
      <c r="H36" s="11" t="s">
        <v>8</v>
      </c>
      <c r="I36" s="11" t="s">
        <v>28</v>
      </c>
      <c r="J36" s="11" t="s">
        <v>85</v>
      </c>
      <c r="K36" s="11" t="s">
        <v>86</v>
      </c>
    </row>
    <row r="37" spans="5:11" ht="12.75">
      <c r="E37" t="s">
        <v>116</v>
      </c>
      <c r="F37" s="23">
        <f aca="true" t="shared" si="13" ref="F37:K37">F12</f>
        <v>308.41305837104403</v>
      </c>
      <c r="G37" s="23">
        <f t="shared" si="13"/>
        <v>265.29886260817614</v>
      </c>
      <c r="H37" s="23">
        <f t="shared" si="13"/>
        <v>213.4404682808139</v>
      </c>
      <c r="I37" s="23">
        <f t="shared" si="13"/>
        <v>153.1154778600683</v>
      </c>
      <c r="J37" s="23">
        <f t="shared" si="13"/>
        <v>81.64763458401305</v>
      </c>
      <c r="K37" s="23">
        <f t="shared" si="13"/>
        <v>0</v>
      </c>
    </row>
    <row r="39" spans="5:11" ht="12.75">
      <c r="E39" t="s">
        <v>117</v>
      </c>
      <c r="F39" s="23">
        <f aca="true" t="shared" si="14" ref="F39:K40">F10</f>
        <v>275.3688021170036</v>
      </c>
      <c r="G39" s="23">
        <f t="shared" si="14"/>
        <v>236.87398447158586</v>
      </c>
      <c r="H39" s="23">
        <f t="shared" si="14"/>
        <v>190.57184667929812</v>
      </c>
      <c r="I39" s="23">
        <f t="shared" si="14"/>
        <v>136.7102480893467</v>
      </c>
      <c r="J39" s="23">
        <f t="shared" si="14"/>
        <v>72.89967373572594</v>
      </c>
      <c r="K39" s="23">
        <f t="shared" si="14"/>
        <v>0</v>
      </c>
    </row>
    <row r="40" spans="5:11" ht="12.75">
      <c r="E40" t="s">
        <v>118</v>
      </c>
      <c r="F40" s="23">
        <f t="shared" si="14"/>
        <v>33.044256254040434</v>
      </c>
      <c r="G40" s="23">
        <f t="shared" si="14"/>
        <v>28.4248781365903</v>
      </c>
      <c r="H40" s="23">
        <f t="shared" si="14"/>
        <v>22.868621601515773</v>
      </c>
      <c r="I40" s="23">
        <f t="shared" si="14"/>
        <v>16.405229770721604</v>
      </c>
      <c r="J40" s="23">
        <f t="shared" si="14"/>
        <v>8.747960848287113</v>
      </c>
      <c r="K40" s="23">
        <f t="shared" si="14"/>
        <v>0</v>
      </c>
    </row>
    <row r="41" spans="5:11" ht="12.75">
      <c r="E41" t="s">
        <v>119</v>
      </c>
      <c r="F41" s="23">
        <f aca="true" t="shared" si="15" ref="F41:K41">SUM(F39:F40)</f>
        <v>308.41305837104403</v>
      </c>
      <c r="G41" s="23">
        <f t="shared" si="15"/>
        <v>265.29886260817614</v>
      </c>
      <c r="H41" s="23">
        <f t="shared" si="15"/>
        <v>213.4404682808139</v>
      </c>
      <c r="I41" s="23">
        <f t="shared" si="15"/>
        <v>153.1154778600683</v>
      </c>
      <c r="J41" s="23">
        <f t="shared" si="15"/>
        <v>81.64763458401305</v>
      </c>
      <c r="K41" s="23">
        <f t="shared" si="15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48"/>
  <sheetViews>
    <sheetView workbookViewId="0" topLeftCell="A1">
      <selection activeCell="C18" sqref="C18"/>
    </sheetView>
  </sheetViews>
  <sheetFormatPr defaultColWidth="9.33203125" defaultRowHeight="12.75"/>
  <cols>
    <col min="5" max="5" width="29.16015625" style="0" bestFit="1" customWidth="1"/>
  </cols>
  <sheetData>
    <row r="2" ht="12.75">
      <c r="B2" t="s">
        <v>120</v>
      </c>
    </row>
    <row r="3" spans="2:11" ht="15">
      <c r="B3" s="26" t="s">
        <v>84</v>
      </c>
      <c r="C3" s="8">
        <v>0.1</v>
      </c>
      <c r="E3" s="74" t="s">
        <v>128</v>
      </c>
      <c r="F3" s="11" t="s">
        <v>6</v>
      </c>
      <c r="G3" s="11" t="s">
        <v>7</v>
      </c>
      <c r="H3" s="11" t="s">
        <v>8</v>
      </c>
      <c r="I3" s="11" t="s">
        <v>28</v>
      </c>
      <c r="J3" s="11" t="s">
        <v>85</v>
      </c>
      <c r="K3" s="11" t="s">
        <v>86</v>
      </c>
    </row>
    <row r="4" spans="2:5" ht="12.75">
      <c r="B4" s="27" t="s">
        <v>87</v>
      </c>
      <c r="C4" s="9">
        <v>0.12</v>
      </c>
      <c r="E4" t="s">
        <v>88</v>
      </c>
    </row>
    <row r="5" spans="2:11" ht="15">
      <c r="B5" s="27" t="s">
        <v>89</v>
      </c>
      <c r="C5" s="9">
        <v>0.07</v>
      </c>
      <c r="E5" t="s">
        <v>90</v>
      </c>
      <c r="F5" s="96">
        <v>310.37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</row>
    <row r="6" spans="2:11" ht="12.75">
      <c r="B6" s="27" t="s">
        <v>62</v>
      </c>
      <c r="C6" s="9">
        <v>0.35</v>
      </c>
      <c r="E6" t="s">
        <v>91</v>
      </c>
      <c r="F6" s="96">
        <v>35</v>
      </c>
      <c r="G6" s="96">
        <v>5</v>
      </c>
      <c r="H6" s="96">
        <v>5.5</v>
      </c>
      <c r="I6" s="96">
        <v>6</v>
      </c>
      <c r="J6" s="96">
        <v>6.5</v>
      </c>
      <c r="K6" s="96">
        <v>7</v>
      </c>
    </row>
    <row r="7" spans="2:11" ht="15">
      <c r="B7" s="53" t="s">
        <v>92</v>
      </c>
      <c r="C7" s="47">
        <f>C5-(C4*((C3/(1-C6))-C5))</f>
        <v>0.059938461538461545</v>
      </c>
      <c r="E7" t="s">
        <v>93</v>
      </c>
      <c r="F7" s="96">
        <v>0</v>
      </c>
      <c r="G7" s="96">
        <v>50</v>
      </c>
      <c r="H7" s="96">
        <v>55</v>
      </c>
      <c r="I7" s="96">
        <v>60</v>
      </c>
      <c r="J7" s="96">
        <v>65</v>
      </c>
      <c r="K7" s="96">
        <v>70</v>
      </c>
    </row>
    <row r="8" spans="5:11" ht="12.75">
      <c r="E8" t="s">
        <v>94</v>
      </c>
      <c r="F8" s="23">
        <f aca="true" t="shared" si="0" ref="F8:K8">F5-F6-F7</f>
        <v>275.37</v>
      </c>
      <c r="G8" s="23">
        <f t="shared" si="0"/>
        <v>-55</v>
      </c>
      <c r="H8" s="23">
        <f t="shared" si="0"/>
        <v>-60.5</v>
      </c>
      <c r="I8" s="23">
        <f t="shared" si="0"/>
        <v>-66</v>
      </c>
      <c r="J8" s="23">
        <f t="shared" si="0"/>
        <v>-71.5</v>
      </c>
      <c r="K8" s="23">
        <f t="shared" si="0"/>
        <v>-77</v>
      </c>
    </row>
    <row r="9" spans="6:11" ht="12.75">
      <c r="F9" s="23"/>
      <c r="G9" s="23"/>
      <c r="H9" s="23"/>
      <c r="I9" s="23"/>
      <c r="J9" s="23"/>
      <c r="K9" s="23"/>
    </row>
    <row r="10" spans="5:11" ht="12.75">
      <c r="E10" s="74" t="s">
        <v>129</v>
      </c>
      <c r="F10" s="11" t="s">
        <v>6</v>
      </c>
      <c r="G10" s="11" t="s">
        <v>7</v>
      </c>
      <c r="H10" s="11" t="s">
        <v>8</v>
      </c>
      <c r="I10" s="11" t="s">
        <v>28</v>
      </c>
      <c r="J10" s="11" t="s">
        <v>85</v>
      </c>
      <c r="K10" s="11" t="s">
        <v>86</v>
      </c>
    </row>
    <row r="11" ht="12.75">
      <c r="E11" t="s">
        <v>88</v>
      </c>
    </row>
    <row r="12" spans="5:11" ht="12.75">
      <c r="E12" t="s">
        <v>90</v>
      </c>
      <c r="F12" s="96">
        <v>310.37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</row>
    <row r="13" spans="5:11" ht="12.75">
      <c r="E13" t="s">
        <v>91</v>
      </c>
      <c r="F13" s="96">
        <v>35</v>
      </c>
      <c r="G13" s="96">
        <v>5</v>
      </c>
      <c r="H13" s="96">
        <v>5.5</v>
      </c>
      <c r="I13" s="96">
        <v>6</v>
      </c>
      <c r="J13" s="96">
        <v>6.6</v>
      </c>
      <c r="K13" s="96">
        <v>7.1</v>
      </c>
    </row>
    <row r="14" spans="5:11" ht="12.75">
      <c r="E14" t="s">
        <v>93</v>
      </c>
      <c r="F14" s="96">
        <v>0</v>
      </c>
      <c r="G14" s="96">
        <v>50</v>
      </c>
      <c r="H14" s="96">
        <v>55</v>
      </c>
      <c r="I14" s="96">
        <v>60</v>
      </c>
      <c r="J14" s="96">
        <v>66</v>
      </c>
      <c r="K14" s="96">
        <v>71</v>
      </c>
    </row>
    <row r="15" spans="5:11" ht="12.75">
      <c r="E15" t="s">
        <v>94</v>
      </c>
      <c r="F15" s="23">
        <f aca="true" t="shared" si="1" ref="F15:K15">F12-F13-F14</f>
        <v>275.37</v>
      </c>
      <c r="G15" s="23">
        <f t="shared" si="1"/>
        <v>-55</v>
      </c>
      <c r="H15" s="23">
        <f t="shared" si="1"/>
        <v>-60.5</v>
      </c>
      <c r="I15" s="23">
        <f t="shared" si="1"/>
        <v>-66</v>
      </c>
      <c r="J15" s="23">
        <f t="shared" si="1"/>
        <v>-72.6</v>
      </c>
      <c r="K15" s="23">
        <f t="shared" si="1"/>
        <v>-78.1</v>
      </c>
    </row>
    <row r="16" spans="6:11" ht="12.75">
      <c r="F16" s="23"/>
      <c r="G16" s="23"/>
      <c r="H16" s="23"/>
      <c r="I16" s="23"/>
      <c r="J16" s="23"/>
      <c r="K16" s="23"/>
    </row>
    <row r="17" spans="5:11" ht="12.75">
      <c r="E17" t="s">
        <v>95</v>
      </c>
      <c r="F17" s="23">
        <f>-NPV($C$7,G8:$K8)</f>
        <v>275.3688021170036</v>
      </c>
      <c r="G17" s="23">
        <f>-NPV($C$7,H8:$K8)</f>
        <v>236.87398447158586</v>
      </c>
      <c r="H17" s="23">
        <f>-NPV($C$7,I8:$K8)</f>
        <v>190.57184667929812</v>
      </c>
      <c r="I17" s="23">
        <f>-NPV($C$7,J15:$K15)</f>
        <v>138.011335845715</v>
      </c>
      <c r="J17" s="23">
        <f>-NPV($C$7,K15:$K15)</f>
        <v>73.6835229911751</v>
      </c>
      <c r="K17" s="23">
        <v>0</v>
      </c>
    </row>
    <row r="18" spans="5:11" ht="12.75">
      <c r="E18" t="s">
        <v>96</v>
      </c>
      <c r="F18" s="23">
        <f aca="true" t="shared" si="2" ref="F18:K18">F17*$C$4</f>
        <v>33.044256254040434</v>
      </c>
      <c r="G18" s="23">
        <f t="shared" si="2"/>
        <v>28.4248781365903</v>
      </c>
      <c r="H18" s="23">
        <f t="shared" si="2"/>
        <v>22.868621601515773</v>
      </c>
      <c r="I18" s="23">
        <f t="shared" si="2"/>
        <v>16.5613603014858</v>
      </c>
      <c r="J18" s="23">
        <f t="shared" si="2"/>
        <v>8.842022758941011</v>
      </c>
      <c r="K18" s="23">
        <f t="shared" si="2"/>
        <v>0</v>
      </c>
    </row>
    <row r="19" spans="5:11" ht="12.75">
      <c r="E19" t="s">
        <v>97</v>
      </c>
      <c r="F19" s="23">
        <f aca="true" t="shared" si="3" ref="F19:K19">F17+F18</f>
        <v>308.41305837104403</v>
      </c>
      <c r="G19" s="23">
        <f t="shared" si="3"/>
        <v>265.29886260817614</v>
      </c>
      <c r="H19" s="23">
        <f t="shared" si="3"/>
        <v>213.4404682808139</v>
      </c>
      <c r="I19" s="23">
        <f t="shared" si="3"/>
        <v>154.5726961472008</v>
      </c>
      <c r="J19" s="23">
        <f t="shared" si="3"/>
        <v>82.52554575011611</v>
      </c>
      <c r="K19" s="23">
        <f t="shared" si="3"/>
        <v>0</v>
      </c>
    </row>
    <row r="20" spans="5:11" ht="12.75">
      <c r="E20" t="s">
        <v>98</v>
      </c>
      <c r="F20" s="23">
        <v>0</v>
      </c>
      <c r="G20" s="23">
        <f>F19*$C$5</f>
        <v>21.588914085973084</v>
      </c>
      <c r="H20" s="23">
        <f>G19*$C$5</f>
        <v>18.570920382572332</v>
      </c>
      <c r="I20" s="23">
        <f>H19*$C$5</f>
        <v>14.940832779656974</v>
      </c>
      <c r="J20" s="23">
        <f>I19*$C$5</f>
        <v>10.820088730304056</v>
      </c>
      <c r="K20" s="23">
        <f>J19*$C$5</f>
        <v>5.776788202508128</v>
      </c>
    </row>
    <row r="21" spans="5:11" ht="12.75">
      <c r="E21" t="s">
        <v>99</v>
      </c>
      <c r="F21" s="23">
        <f>F5-F6-F7+F20-F17</f>
        <v>0.0011978829963936732</v>
      </c>
      <c r="G21" s="23">
        <f>G5-G6-G7+G20-(G17-F17)</f>
        <v>5.0837317313908414</v>
      </c>
      <c r="H21" s="23">
        <f>H5-H6-H7+H20-(H17-G17)</f>
        <v>4.37305817486007</v>
      </c>
      <c r="I21" s="23">
        <f>I5-I6-I7+I20-(I17-H17)</f>
        <v>1.5013436132400955</v>
      </c>
      <c r="J21" s="23">
        <f>J5-J6-J7+J20-(J17-I17)</f>
        <v>3.6479015848439573</v>
      </c>
      <c r="K21" s="23">
        <f>K5-K6-K7+K20-(K17-J17)</f>
        <v>2.460311193683225</v>
      </c>
    </row>
    <row r="22" spans="5:11" ht="12.75">
      <c r="E22" t="s">
        <v>100</v>
      </c>
      <c r="F22" s="23">
        <f aca="true" t="shared" si="4" ref="F22:K22">F21*$C$6</f>
        <v>0.0004192590487377856</v>
      </c>
      <c r="G22" s="23">
        <f t="shared" si="4"/>
        <v>1.7793061059867943</v>
      </c>
      <c r="H22" s="23">
        <f t="shared" si="4"/>
        <v>1.5305703612010244</v>
      </c>
      <c r="I22" s="23">
        <f t="shared" si="4"/>
        <v>0.5254702646340333</v>
      </c>
      <c r="J22" s="23">
        <f t="shared" si="4"/>
        <v>1.2767655546953849</v>
      </c>
      <c r="K22" s="23">
        <f t="shared" si="4"/>
        <v>0.8611089177891287</v>
      </c>
    </row>
    <row r="23" spans="5:11" ht="12.75">
      <c r="E23" t="s">
        <v>101</v>
      </c>
      <c r="F23" s="23">
        <f>-F18-(F22-F21)</f>
        <v>-33.04347763009278</v>
      </c>
      <c r="G23" s="23">
        <f>(F18-G18)-(G22-G21)</f>
        <v>7.923803742854179</v>
      </c>
      <c r="H23" s="23">
        <f>(G18-H18)-(H22-H21)</f>
        <v>8.398744348733572</v>
      </c>
      <c r="I23" s="23">
        <f>(H18-I18)-(I22-I21)</f>
        <v>7.283134648636037</v>
      </c>
      <c r="J23" s="23">
        <f>(I18-J18)-(J22-J21)</f>
        <v>10.090473572693359</v>
      </c>
      <c r="K23" s="23">
        <f>(J18-K18)-(K22-K21)</f>
        <v>10.441225034835108</v>
      </c>
    </row>
    <row r="25" spans="5:6" ht="12.75">
      <c r="E25" t="s">
        <v>102</v>
      </c>
      <c r="F25" s="58">
        <f>IRR(F23:K23)</f>
        <v>0.09941539739286934</v>
      </c>
    </row>
    <row r="27" spans="5:11" ht="12.75">
      <c r="E27" s="74" t="s">
        <v>103</v>
      </c>
      <c r="F27" s="11" t="s">
        <v>6</v>
      </c>
      <c r="G27" s="11" t="s">
        <v>7</v>
      </c>
      <c r="H27" s="11" t="s">
        <v>8</v>
      </c>
      <c r="I27" s="11" t="s">
        <v>28</v>
      </c>
      <c r="J27" s="11" t="s">
        <v>85</v>
      </c>
      <c r="K27" s="11" t="s">
        <v>86</v>
      </c>
    </row>
    <row r="28" spans="5:11" ht="12.75">
      <c r="E28" t="s">
        <v>104</v>
      </c>
      <c r="F28" s="23">
        <f aca="true" t="shared" si="5" ref="F28:K28">F5</f>
        <v>310.37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  <c r="K28" s="23">
        <f t="shared" si="5"/>
        <v>0</v>
      </c>
    </row>
    <row r="29" spans="5:11" ht="12.75">
      <c r="E29" t="s">
        <v>105</v>
      </c>
      <c r="F29" s="23">
        <f aca="true" t="shared" si="6" ref="F29:K29">F20</f>
        <v>0</v>
      </c>
      <c r="G29" s="23">
        <f t="shared" si="6"/>
        <v>21.588914085973084</v>
      </c>
      <c r="H29" s="23">
        <f t="shared" si="6"/>
        <v>18.570920382572332</v>
      </c>
      <c r="I29" s="23">
        <f t="shared" si="6"/>
        <v>14.940832779656974</v>
      </c>
      <c r="J29" s="23">
        <f t="shared" si="6"/>
        <v>10.820088730304056</v>
      </c>
      <c r="K29" s="23">
        <f t="shared" si="6"/>
        <v>5.776788202508128</v>
      </c>
    </row>
    <row r="30" spans="5:11" ht="12.75">
      <c r="E30" t="s">
        <v>106</v>
      </c>
      <c r="F30" s="23">
        <f aca="true" t="shared" si="7" ref="F30:K30">SUM(F28:F29)</f>
        <v>310.37</v>
      </c>
      <c r="G30" s="23">
        <f t="shared" si="7"/>
        <v>21.588914085973084</v>
      </c>
      <c r="H30" s="23">
        <f t="shared" si="7"/>
        <v>18.570920382572332</v>
      </c>
      <c r="I30" s="23">
        <f t="shared" si="7"/>
        <v>14.940832779656974</v>
      </c>
      <c r="J30" s="23">
        <f t="shared" si="7"/>
        <v>10.820088730304056</v>
      </c>
      <c r="K30" s="23">
        <f t="shared" si="7"/>
        <v>5.776788202508128</v>
      </c>
    </row>
    <row r="32" spans="5:11" ht="12.75">
      <c r="E32" t="s">
        <v>107</v>
      </c>
      <c r="F32" s="23">
        <f aca="true" t="shared" si="8" ref="F32:K32">F14</f>
        <v>0</v>
      </c>
      <c r="G32" s="23">
        <f t="shared" si="8"/>
        <v>50</v>
      </c>
      <c r="H32" s="23">
        <f t="shared" si="8"/>
        <v>55</v>
      </c>
      <c r="I32" s="23">
        <f t="shared" si="8"/>
        <v>60</v>
      </c>
      <c r="J32" s="23">
        <f t="shared" si="8"/>
        <v>66</v>
      </c>
      <c r="K32" s="23">
        <f t="shared" si="8"/>
        <v>71</v>
      </c>
    </row>
    <row r="33" spans="5:11" ht="12.75">
      <c r="E33" t="s">
        <v>108</v>
      </c>
      <c r="F33" s="23">
        <f aca="true" t="shared" si="9" ref="F33:K33">F13</f>
        <v>35</v>
      </c>
      <c r="G33" s="23">
        <f t="shared" si="9"/>
        <v>5</v>
      </c>
      <c r="H33" s="23">
        <f t="shared" si="9"/>
        <v>5.5</v>
      </c>
      <c r="I33" s="23">
        <f t="shared" si="9"/>
        <v>6</v>
      </c>
      <c r="J33" s="23">
        <f t="shared" si="9"/>
        <v>6.6</v>
      </c>
      <c r="K33" s="23">
        <f t="shared" si="9"/>
        <v>7.1</v>
      </c>
    </row>
    <row r="34" spans="5:11" ht="12.75">
      <c r="E34" t="s">
        <v>109</v>
      </c>
      <c r="F34" s="23">
        <f>F17</f>
        <v>275.3688021170036</v>
      </c>
      <c r="G34" s="23">
        <f>G17-F17</f>
        <v>-38.494817645417754</v>
      </c>
      <c r="H34" s="23">
        <f>H17-G17</f>
        <v>-46.30213779228774</v>
      </c>
      <c r="I34" s="23">
        <f>I17-H17</f>
        <v>-52.56051083358312</v>
      </c>
      <c r="J34" s="23">
        <f>J17-I17</f>
        <v>-64.3278128545399</v>
      </c>
      <c r="K34" s="23">
        <f>K17-J17</f>
        <v>-73.6835229911751</v>
      </c>
    </row>
    <row r="35" spans="5:11" ht="12.75">
      <c r="E35" t="s">
        <v>110</v>
      </c>
      <c r="F35" s="23">
        <f aca="true" t="shared" si="10" ref="F35:K35">SUM(F32:F34)</f>
        <v>310.3688021170036</v>
      </c>
      <c r="G35" s="23">
        <f t="shared" si="10"/>
        <v>16.505182354582246</v>
      </c>
      <c r="H35" s="23">
        <f t="shared" si="10"/>
        <v>14.197862207712262</v>
      </c>
      <c r="I35" s="23">
        <f t="shared" si="10"/>
        <v>13.439489166416877</v>
      </c>
      <c r="J35" s="23">
        <f t="shared" si="10"/>
        <v>8.272187145460094</v>
      </c>
      <c r="K35" s="23">
        <f t="shared" si="10"/>
        <v>4.416477008824899</v>
      </c>
    </row>
    <row r="37" spans="5:11" ht="12.75">
      <c r="E37" t="s">
        <v>111</v>
      </c>
      <c r="F37" s="23">
        <f aca="true" t="shared" si="11" ref="F37:K37">F30-F35</f>
        <v>0.0011978829963936732</v>
      </c>
      <c r="G37" s="23">
        <f t="shared" si="11"/>
        <v>5.083731731390838</v>
      </c>
      <c r="H37" s="23">
        <f t="shared" si="11"/>
        <v>4.37305817486007</v>
      </c>
      <c r="I37" s="23">
        <f t="shared" si="11"/>
        <v>1.5013436132400972</v>
      </c>
      <c r="J37" s="23">
        <f t="shared" si="11"/>
        <v>2.5479015848439612</v>
      </c>
      <c r="K37" s="23">
        <f t="shared" si="11"/>
        <v>1.3603111936832297</v>
      </c>
    </row>
    <row r="38" spans="5:11" ht="12.75">
      <c r="E38" t="s">
        <v>112</v>
      </c>
      <c r="F38" s="23">
        <f aca="true" t="shared" si="12" ref="F38:K38">F37*$C$6</f>
        <v>0.0004192590487377856</v>
      </c>
      <c r="G38" s="23">
        <f t="shared" si="12"/>
        <v>1.7793061059867932</v>
      </c>
      <c r="H38" s="23">
        <f t="shared" si="12"/>
        <v>1.5305703612010244</v>
      </c>
      <c r="I38" s="23">
        <f t="shared" si="12"/>
        <v>0.525470264634034</v>
      </c>
      <c r="J38" s="23">
        <f t="shared" si="12"/>
        <v>0.8917655546953863</v>
      </c>
      <c r="K38" s="23">
        <f t="shared" si="12"/>
        <v>0.4761089177891304</v>
      </c>
    </row>
    <row r="39" spans="5:11" ht="12.75">
      <c r="E39" t="s">
        <v>113</v>
      </c>
      <c r="F39" s="23">
        <f aca="true" t="shared" si="13" ref="F39:K39">F37-F38</f>
        <v>0.0007786239476558876</v>
      </c>
      <c r="G39" s="23">
        <f t="shared" si="13"/>
        <v>3.3044256254040447</v>
      </c>
      <c r="H39" s="23">
        <f t="shared" si="13"/>
        <v>2.8424878136590452</v>
      </c>
      <c r="I39" s="23">
        <f t="shared" si="13"/>
        <v>0.9758733486060632</v>
      </c>
      <c r="J39" s="23">
        <f t="shared" si="13"/>
        <v>1.6561360301485748</v>
      </c>
      <c r="K39" s="23">
        <f t="shared" si="13"/>
        <v>0.8842022758940993</v>
      </c>
    </row>
    <row r="41" spans="5:11" ht="12.75">
      <c r="E41" t="s">
        <v>114</v>
      </c>
      <c r="G41" s="97">
        <f>G39/F18</f>
        <v>0.10000000000000005</v>
      </c>
      <c r="H41" s="97">
        <f>H39/G18</f>
        <v>0.10000000000000053</v>
      </c>
      <c r="I41" s="97">
        <f>I39/H18</f>
        <v>0.04267302881697866</v>
      </c>
      <c r="J41" s="97">
        <f>J39/I18</f>
        <v>0.0999999999999997</v>
      </c>
      <c r="K41" s="97">
        <f>K39/J18</f>
        <v>0.09999999999999978</v>
      </c>
    </row>
    <row r="43" spans="5:11" ht="12.75">
      <c r="E43" s="74" t="s">
        <v>115</v>
      </c>
      <c r="F43" s="11" t="s">
        <v>6</v>
      </c>
      <c r="G43" s="11" t="s">
        <v>7</v>
      </c>
      <c r="H43" s="11" t="s">
        <v>8</v>
      </c>
      <c r="I43" s="11" t="s">
        <v>28</v>
      </c>
      <c r="J43" s="11" t="s">
        <v>85</v>
      </c>
      <c r="K43" s="11" t="s">
        <v>86</v>
      </c>
    </row>
    <row r="44" spans="5:11" ht="12.75">
      <c r="E44" t="s">
        <v>116</v>
      </c>
      <c r="F44" s="23">
        <f aca="true" t="shared" si="14" ref="F44:K44">F19</f>
        <v>308.41305837104403</v>
      </c>
      <c r="G44" s="23">
        <f t="shared" si="14"/>
        <v>265.29886260817614</v>
      </c>
      <c r="H44" s="23">
        <f t="shared" si="14"/>
        <v>213.4404682808139</v>
      </c>
      <c r="I44" s="23">
        <f t="shared" si="14"/>
        <v>154.5726961472008</v>
      </c>
      <c r="J44" s="23">
        <f t="shared" si="14"/>
        <v>82.52554575011611</v>
      </c>
      <c r="K44" s="23">
        <f t="shared" si="14"/>
        <v>0</v>
      </c>
    </row>
    <row r="46" spans="5:11" ht="12.75">
      <c r="E46" t="s">
        <v>117</v>
      </c>
      <c r="F46" s="23">
        <f aca="true" t="shared" si="15" ref="F46:K47">F17</f>
        <v>275.3688021170036</v>
      </c>
      <c r="G46" s="23">
        <f t="shared" si="15"/>
        <v>236.87398447158586</v>
      </c>
      <c r="H46" s="23">
        <f t="shared" si="15"/>
        <v>190.57184667929812</v>
      </c>
      <c r="I46" s="23">
        <f t="shared" si="15"/>
        <v>138.011335845715</v>
      </c>
      <c r="J46" s="23">
        <f t="shared" si="15"/>
        <v>73.6835229911751</v>
      </c>
      <c r="K46" s="23">
        <f t="shared" si="15"/>
        <v>0</v>
      </c>
    </row>
    <row r="47" spans="5:11" ht="12.75">
      <c r="E47" t="s">
        <v>118</v>
      </c>
      <c r="F47" s="23">
        <f t="shared" si="15"/>
        <v>33.044256254040434</v>
      </c>
      <c r="G47" s="23">
        <f t="shared" si="15"/>
        <v>28.4248781365903</v>
      </c>
      <c r="H47" s="23">
        <f t="shared" si="15"/>
        <v>22.868621601515773</v>
      </c>
      <c r="I47" s="23">
        <f t="shared" si="15"/>
        <v>16.5613603014858</v>
      </c>
      <c r="J47" s="23">
        <f t="shared" si="15"/>
        <v>8.842022758941011</v>
      </c>
      <c r="K47" s="23">
        <f t="shared" si="15"/>
        <v>0</v>
      </c>
    </row>
    <row r="48" spans="5:11" ht="12.75">
      <c r="E48" t="s">
        <v>119</v>
      </c>
      <c r="F48" s="23">
        <f aca="true" t="shared" si="16" ref="F48:K48">SUM(F46:F47)</f>
        <v>308.41305837104403</v>
      </c>
      <c r="G48" s="23">
        <f t="shared" si="16"/>
        <v>265.29886260817614</v>
      </c>
      <c r="H48" s="23">
        <f t="shared" si="16"/>
        <v>213.4404682808139</v>
      </c>
      <c r="I48" s="23">
        <f t="shared" si="16"/>
        <v>154.5726961472008</v>
      </c>
      <c r="J48" s="23">
        <f t="shared" si="16"/>
        <v>82.52554575011611</v>
      </c>
      <c r="K48" s="23">
        <f t="shared" si="16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2:K25"/>
  <sheetViews>
    <sheetView showGridLines="0" workbookViewId="0" topLeftCell="A1">
      <selection activeCell="A2" sqref="A2"/>
    </sheetView>
  </sheetViews>
  <sheetFormatPr defaultColWidth="9.33203125" defaultRowHeight="12.75"/>
  <cols>
    <col min="2" max="2" width="11.83203125" style="0" customWidth="1"/>
    <col min="3" max="7" width="10.83203125" style="0" customWidth="1"/>
  </cols>
  <sheetData>
    <row r="2" ht="12.75">
      <c r="C2" s="4" t="s">
        <v>16</v>
      </c>
    </row>
    <row r="3" spans="2:10" ht="12.75">
      <c r="B3" s="1"/>
      <c r="C3" s="21" t="s">
        <v>17</v>
      </c>
      <c r="D3" s="21" t="s">
        <v>18</v>
      </c>
      <c r="E3" s="21" t="s">
        <v>19</v>
      </c>
      <c r="F3" s="21" t="s">
        <v>20</v>
      </c>
      <c r="G3" s="21" t="s">
        <v>21</v>
      </c>
      <c r="H3" s="21" t="s">
        <v>22</v>
      </c>
      <c r="I3" s="21" t="s">
        <v>23</v>
      </c>
      <c r="J3" s="21" t="s">
        <v>24</v>
      </c>
    </row>
    <row r="4" spans="2:10" ht="12.75">
      <c r="B4" s="14" t="s">
        <v>17</v>
      </c>
      <c r="C4" s="61">
        <v>0.9081</v>
      </c>
      <c r="D4" s="61">
        <v>0.0833</v>
      </c>
      <c r="E4" s="61">
        <v>0.0068000000000000005</v>
      </c>
      <c r="F4" s="61">
        <v>0.0006</v>
      </c>
      <c r="G4" s="61">
        <v>0.0012</v>
      </c>
      <c r="H4" s="61">
        <v>0</v>
      </c>
      <c r="I4" s="61">
        <v>0</v>
      </c>
      <c r="J4" s="61">
        <v>0</v>
      </c>
    </row>
    <row r="5" spans="2:10" ht="12.75">
      <c r="B5" s="10" t="s">
        <v>18</v>
      </c>
      <c r="C5" s="61">
        <v>0.006999999999999999</v>
      </c>
      <c r="D5" s="61">
        <v>0.9065000000000001</v>
      </c>
      <c r="E5" s="61">
        <v>0.0779</v>
      </c>
      <c r="F5" s="61">
        <v>0.0064</v>
      </c>
      <c r="G5" s="61">
        <v>0.0006</v>
      </c>
      <c r="H5" s="61">
        <v>0.0014000000000000002</v>
      </c>
      <c r="I5" s="61">
        <v>0.0002</v>
      </c>
      <c r="J5" s="61">
        <v>0</v>
      </c>
    </row>
    <row r="6" spans="2:10" ht="12.75">
      <c r="B6" s="10" t="s">
        <v>19</v>
      </c>
      <c r="C6" s="61">
        <v>0.0009</v>
      </c>
      <c r="D6" s="61">
        <v>0.0227</v>
      </c>
      <c r="E6" s="61">
        <v>0.9105</v>
      </c>
      <c r="F6" s="61">
        <v>0.0552</v>
      </c>
      <c r="G6" s="61">
        <v>0.0074</v>
      </c>
      <c r="H6" s="61">
        <v>0.0026000000000000003</v>
      </c>
      <c r="I6" s="61">
        <v>0.0001</v>
      </c>
      <c r="J6" s="61">
        <v>0.0006</v>
      </c>
    </row>
    <row r="7" spans="2:10" ht="12.75">
      <c r="B7" s="10" t="s">
        <v>20</v>
      </c>
      <c r="C7" s="61">
        <v>0.0002</v>
      </c>
      <c r="D7" s="61">
        <v>0.0033000000000000004</v>
      </c>
      <c r="E7" s="61">
        <v>0.059500000000000004</v>
      </c>
      <c r="F7" s="61">
        <v>0.8693000000000001</v>
      </c>
      <c r="G7" s="61">
        <v>0.053</v>
      </c>
      <c r="H7" s="61">
        <v>0.0117</v>
      </c>
      <c r="I7" s="61">
        <v>0.0012</v>
      </c>
      <c r="J7" s="61">
        <v>0.0018</v>
      </c>
    </row>
    <row r="8" spans="2:10" ht="12.75">
      <c r="B8" s="10" t="s">
        <v>21</v>
      </c>
      <c r="C8" s="61">
        <v>0.0003</v>
      </c>
      <c r="D8" s="61">
        <v>0.0014000000000000002</v>
      </c>
      <c r="E8" s="61">
        <v>0.0067</v>
      </c>
      <c r="F8" s="61">
        <v>0.07730000000000001</v>
      </c>
      <c r="G8" s="61">
        <v>0.8053</v>
      </c>
      <c r="H8" s="61">
        <v>0.0884</v>
      </c>
      <c r="I8" s="61">
        <v>0.01</v>
      </c>
      <c r="J8" s="61">
        <v>0.0106</v>
      </c>
    </row>
    <row r="9" spans="2:10" ht="12.75">
      <c r="B9" s="10" t="s">
        <v>22</v>
      </c>
      <c r="C9" s="61">
        <v>0</v>
      </c>
      <c r="D9" s="61">
        <v>0.0011</v>
      </c>
      <c r="E9" s="61">
        <v>0.0024</v>
      </c>
      <c r="F9" s="61">
        <v>0.0043</v>
      </c>
      <c r="G9" s="61">
        <v>0.06480000000000001</v>
      </c>
      <c r="H9" s="61">
        <v>0.8346</v>
      </c>
      <c r="I9" s="61">
        <v>0.04070000000000001</v>
      </c>
      <c r="J9" s="61">
        <v>0.052000000000000005</v>
      </c>
    </row>
    <row r="10" spans="2:10" ht="12.75">
      <c r="B10" s="11" t="s">
        <v>23</v>
      </c>
      <c r="C10" s="62">
        <v>0.0022</v>
      </c>
      <c r="D10" s="62">
        <v>0</v>
      </c>
      <c r="E10" s="62">
        <v>0.0022</v>
      </c>
      <c r="F10" s="62">
        <v>0.013000000000000001</v>
      </c>
      <c r="G10" s="62">
        <v>0.023799999999999998</v>
      </c>
      <c r="H10" s="62">
        <v>0.1124</v>
      </c>
      <c r="I10" s="62">
        <v>0.6486</v>
      </c>
      <c r="J10" s="62">
        <v>0.1979</v>
      </c>
    </row>
    <row r="13" ht="12.75">
      <c r="C13" t="s">
        <v>39</v>
      </c>
    </row>
    <row r="15" spans="4:11" ht="12.75">
      <c r="D15" s="34" t="s">
        <v>36</v>
      </c>
      <c r="E15" s="35"/>
      <c r="F15" s="35"/>
      <c r="G15" s="35"/>
      <c r="H15" s="35"/>
      <c r="I15" s="35"/>
      <c r="J15" s="35"/>
      <c r="K15" s="35"/>
    </row>
    <row r="16" spans="2:11" ht="12.75">
      <c r="B16" s="19" t="s">
        <v>37</v>
      </c>
      <c r="C16" s="32"/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22</v>
      </c>
      <c r="J16" s="14" t="s">
        <v>23</v>
      </c>
      <c r="K16" s="14" t="s">
        <v>24</v>
      </c>
    </row>
    <row r="17" spans="2:11" ht="12.75">
      <c r="B17" s="28" t="s">
        <v>38</v>
      </c>
      <c r="C17" s="11"/>
      <c r="D17" s="37">
        <f>C6</f>
        <v>0.0009</v>
      </c>
      <c r="E17" s="37">
        <f aca="true" t="shared" si="0" ref="E17:K17">D6</f>
        <v>0.0227</v>
      </c>
      <c r="F17" s="37">
        <f t="shared" si="0"/>
        <v>0.9105</v>
      </c>
      <c r="G17" s="37">
        <f t="shared" si="0"/>
        <v>0.0552</v>
      </c>
      <c r="H17" s="37">
        <f t="shared" si="0"/>
        <v>0.0074</v>
      </c>
      <c r="I17" s="37">
        <f t="shared" si="0"/>
        <v>0.0026000000000000003</v>
      </c>
      <c r="J17" s="37">
        <f t="shared" si="0"/>
        <v>0.0001</v>
      </c>
      <c r="K17" s="37">
        <f t="shared" si="0"/>
        <v>0.0006</v>
      </c>
    </row>
    <row r="18" spans="2:11" ht="12.75">
      <c r="B18" s="14" t="s">
        <v>17</v>
      </c>
      <c r="C18" s="29">
        <f>C$8</f>
        <v>0.0003</v>
      </c>
      <c r="D18" s="29">
        <f aca="true" t="shared" si="1" ref="D18:D25">$C18*D$17</f>
        <v>2.6999999999999996E-07</v>
      </c>
      <c r="E18" s="29">
        <f aca="true" t="shared" si="2" ref="E18:K18">$C18*E17</f>
        <v>6.81E-06</v>
      </c>
      <c r="F18" s="29">
        <f t="shared" si="2"/>
        <v>0.00027314999999999994</v>
      </c>
      <c r="G18" s="29">
        <f t="shared" si="2"/>
        <v>1.6559999999999997E-05</v>
      </c>
      <c r="H18" s="29">
        <f t="shared" si="2"/>
        <v>2.22E-06</v>
      </c>
      <c r="I18" s="29">
        <f t="shared" si="2"/>
        <v>7.8E-07</v>
      </c>
      <c r="J18" s="29">
        <f t="shared" si="2"/>
        <v>3E-08</v>
      </c>
      <c r="K18" s="29">
        <f t="shared" si="2"/>
        <v>1.7999999999999997E-07</v>
      </c>
    </row>
    <row r="19" spans="2:11" ht="12.75">
      <c r="B19" s="10" t="s">
        <v>18</v>
      </c>
      <c r="C19" s="29">
        <f>D$8</f>
        <v>0.0014000000000000002</v>
      </c>
      <c r="D19" s="36">
        <f t="shared" si="1"/>
        <v>1.2600000000000002E-06</v>
      </c>
      <c r="E19" s="36">
        <f aca="true" t="shared" si="3" ref="E19:K25">$C19*E$17</f>
        <v>3.1780000000000004E-05</v>
      </c>
      <c r="F19" s="36">
        <f t="shared" si="3"/>
        <v>0.0012747000000000001</v>
      </c>
      <c r="G19" s="36">
        <f t="shared" si="3"/>
        <v>7.728E-05</v>
      </c>
      <c r="H19" s="36">
        <f t="shared" si="3"/>
        <v>1.0360000000000002E-05</v>
      </c>
      <c r="I19" s="36">
        <f t="shared" si="3"/>
        <v>3.640000000000001E-06</v>
      </c>
      <c r="J19" s="36">
        <f t="shared" si="3"/>
        <v>1.4000000000000004E-07</v>
      </c>
      <c r="K19" s="36">
        <f t="shared" si="3"/>
        <v>8.4E-07</v>
      </c>
    </row>
    <row r="20" spans="2:11" ht="12.75">
      <c r="B20" s="10" t="s">
        <v>19</v>
      </c>
      <c r="C20" s="29">
        <f>E$8</f>
        <v>0.0067</v>
      </c>
      <c r="D20" s="36">
        <f t="shared" si="1"/>
        <v>6.03E-06</v>
      </c>
      <c r="E20" s="36">
        <f t="shared" si="3"/>
        <v>0.00015209000000000002</v>
      </c>
      <c r="F20" s="36">
        <f t="shared" si="3"/>
        <v>0.00610035</v>
      </c>
      <c r="G20" s="36">
        <f t="shared" si="3"/>
        <v>0.00036984</v>
      </c>
      <c r="H20" s="36">
        <f t="shared" si="3"/>
        <v>4.958E-05</v>
      </c>
      <c r="I20" s="36">
        <f t="shared" si="3"/>
        <v>1.7420000000000003E-05</v>
      </c>
      <c r="J20" s="36">
        <f t="shared" si="3"/>
        <v>6.7E-07</v>
      </c>
      <c r="K20" s="36">
        <f t="shared" si="3"/>
        <v>4.02E-06</v>
      </c>
    </row>
    <row r="21" spans="2:11" ht="12.75">
      <c r="B21" s="10" t="s">
        <v>20</v>
      </c>
      <c r="C21" s="29">
        <f>F$8</f>
        <v>0.07730000000000001</v>
      </c>
      <c r="D21" s="36">
        <f t="shared" si="1"/>
        <v>6.957E-05</v>
      </c>
      <c r="E21" s="36">
        <f t="shared" si="3"/>
        <v>0.0017547100000000003</v>
      </c>
      <c r="F21" s="36">
        <f t="shared" si="3"/>
        <v>0.07038165</v>
      </c>
      <c r="G21" s="36">
        <f t="shared" si="3"/>
        <v>0.00426696</v>
      </c>
      <c r="H21" s="36">
        <f t="shared" si="3"/>
        <v>0.0005720200000000001</v>
      </c>
      <c r="I21" s="36">
        <f t="shared" si="3"/>
        <v>0.00020098000000000004</v>
      </c>
      <c r="J21" s="36">
        <f t="shared" si="3"/>
        <v>7.73E-06</v>
      </c>
      <c r="K21" s="36">
        <f t="shared" si="3"/>
        <v>4.638E-05</v>
      </c>
    </row>
    <row r="22" spans="2:11" ht="12.75">
      <c r="B22" s="10" t="s">
        <v>21</v>
      </c>
      <c r="C22" s="29">
        <f>G$8</f>
        <v>0.8053</v>
      </c>
      <c r="D22" s="36">
        <f t="shared" si="1"/>
        <v>0.00072477</v>
      </c>
      <c r="E22" s="36">
        <f t="shared" si="3"/>
        <v>0.01828031</v>
      </c>
      <c r="F22" s="36">
        <f t="shared" si="3"/>
        <v>0.73322565</v>
      </c>
      <c r="G22" s="36">
        <f t="shared" si="3"/>
        <v>0.04445256</v>
      </c>
      <c r="H22" s="36">
        <f t="shared" si="3"/>
        <v>0.00595922</v>
      </c>
      <c r="I22" s="36">
        <f t="shared" si="3"/>
        <v>0.0020937800000000004</v>
      </c>
      <c r="J22" s="36">
        <f t="shared" si="3"/>
        <v>8.053E-05</v>
      </c>
      <c r="K22" s="36">
        <f t="shared" si="3"/>
        <v>0.00048318</v>
      </c>
    </row>
    <row r="23" spans="2:11" ht="12.75">
      <c r="B23" s="10" t="s">
        <v>22</v>
      </c>
      <c r="C23" s="29">
        <f>H$8</f>
        <v>0.0884</v>
      </c>
      <c r="D23" s="36">
        <f t="shared" si="1"/>
        <v>7.956E-05</v>
      </c>
      <c r="E23" s="36">
        <f t="shared" si="3"/>
        <v>0.0020066800000000003</v>
      </c>
      <c r="F23" s="36">
        <f t="shared" si="3"/>
        <v>0.08048820000000001</v>
      </c>
      <c r="G23" s="36">
        <f t="shared" si="3"/>
        <v>0.00487968</v>
      </c>
      <c r="H23" s="36">
        <f t="shared" si="3"/>
        <v>0.0006541600000000001</v>
      </c>
      <c r="I23" s="36">
        <f t="shared" si="3"/>
        <v>0.00022984000000000004</v>
      </c>
      <c r="J23" s="36">
        <f t="shared" si="3"/>
        <v>8.840000000000002E-06</v>
      </c>
      <c r="K23" s="36">
        <f t="shared" si="3"/>
        <v>5.304E-05</v>
      </c>
    </row>
    <row r="24" spans="2:11" ht="12.75">
      <c r="B24" s="32" t="s">
        <v>23</v>
      </c>
      <c r="C24" s="36">
        <f>I$8</f>
        <v>0.01</v>
      </c>
      <c r="D24" s="36">
        <f t="shared" si="1"/>
        <v>9E-06</v>
      </c>
      <c r="E24" s="36">
        <f t="shared" si="3"/>
        <v>0.00022700000000000002</v>
      </c>
      <c r="F24" s="36">
        <f t="shared" si="3"/>
        <v>0.009105</v>
      </c>
      <c r="G24" s="36">
        <f t="shared" si="3"/>
        <v>0.000552</v>
      </c>
      <c r="H24" s="36">
        <f t="shared" si="3"/>
        <v>7.400000000000001E-05</v>
      </c>
      <c r="I24" s="36">
        <f t="shared" si="3"/>
        <v>2.6000000000000005E-05</v>
      </c>
      <c r="J24" s="36">
        <f t="shared" si="3"/>
        <v>1.0000000000000002E-06</v>
      </c>
      <c r="K24" s="36">
        <f t="shared" si="3"/>
        <v>5.999999999999999E-06</v>
      </c>
    </row>
    <row r="25" spans="2:11" ht="12.75">
      <c r="B25" s="11" t="s">
        <v>24</v>
      </c>
      <c r="C25" s="30">
        <f>J$8</f>
        <v>0.0106</v>
      </c>
      <c r="D25" s="30">
        <f t="shared" si="1"/>
        <v>9.54E-06</v>
      </c>
      <c r="E25" s="30">
        <f t="shared" si="3"/>
        <v>0.00024062</v>
      </c>
      <c r="F25" s="30">
        <f t="shared" si="3"/>
        <v>0.0096513</v>
      </c>
      <c r="G25" s="30">
        <f t="shared" si="3"/>
        <v>0.00058512</v>
      </c>
      <c r="H25" s="30">
        <f t="shared" si="3"/>
        <v>7.844E-05</v>
      </c>
      <c r="I25" s="30">
        <f t="shared" si="3"/>
        <v>2.7560000000000004E-05</v>
      </c>
      <c r="J25" s="30">
        <f t="shared" si="3"/>
        <v>1.06E-06</v>
      </c>
      <c r="K25" s="30">
        <f t="shared" si="3"/>
        <v>6.359999999999999E-06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2:J22"/>
  <sheetViews>
    <sheetView showGridLines="0" workbookViewId="0" topLeftCell="A1">
      <selection activeCell="H28" sqref="H28"/>
    </sheetView>
  </sheetViews>
  <sheetFormatPr defaultColWidth="9.33203125" defaultRowHeight="12.75"/>
  <cols>
    <col min="2" max="10" width="14.83203125" style="0" customWidth="1"/>
  </cols>
  <sheetData>
    <row r="2" ht="12.75">
      <c r="C2" s="4" t="s">
        <v>16</v>
      </c>
    </row>
    <row r="3" spans="2:10" ht="12.75">
      <c r="B3" s="1"/>
      <c r="C3" s="21" t="s">
        <v>17</v>
      </c>
      <c r="D3" s="21" t="s">
        <v>18</v>
      </c>
      <c r="E3" s="21" t="s">
        <v>19</v>
      </c>
      <c r="F3" s="21" t="s">
        <v>20</v>
      </c>
      <c r="G3" s="21" t="s">
        <v>21</v>
      </c>
      <c r="H3" s="21" t="s">
        <v>22</v>
      </c>
      <c r="I3" s="21" t="s">
        <v>23</v>
      </c>
      <c r="J3" s="21" t="s">
        <v>24</v>
      </c>
    </row>
    <row r="4" spans="2:10" ht="12.75">
      <c r="B4" s="14" t="s">
        <v>17</v>
      </c>
      <c r="C4" s="61">
        <v>0.9081</v>
      </c>
      <c r="D4" s="61">
        <v>0.0833</v>
      </c>
      <c r="E4" s="61">
        <v>0.0068000000000000005</v>
      </c>
      <c r="F4" s="61">
        <v>0.0006</v>
      </c>
      <c r="G4" s="61">
        <v>0.0012</v>
      </c>
      <c r="H4" s="61">
        <v>0</v>
      </c>
      <c r="I4" s="61">
        <v>0</v>
      </c>
      <c r="J4" s="61">
        <v>0</v>
      </c>
    </row>
    <row r="5" spans="2:10" ht="12.75">
      <c r="B5" s="10" t="s">
        <v>18</v>
      </c>
      <c r="C5" s="61">
        <v>0.006999999999999999</v>
      </c>
      <c r="D5" s="61">
        <v>0.9065000000000001</v>
      </c>
      <c r="E5" s="61">
        <v>0.0779</v>
      </c>
      <c r="F5" s="61">
        <v>0.0064</v>
      </c>
      <c r="G5" s="61">
        <v>0.0006</v>
      </c>
      <c r="H5" s="61">
        <v>0.0014000000000000002</v>
      </c>
      <c r="I5" s="61">
        <v>0.0002</v>
      </c>
      <c r="J5" s="61">
        <v>0</v>
      </c>
    </row>
    <row r="6" spans="2:10" ht="12.75">
      <c r="B6" s="10" t="s">
        <v>19</v>
      </c>
      <c r="C6" s="61">
        <v>0.0009</v>
      </c>
      <c r="D6" s="61">
        <v>0.0227</v>
      </c>
      <c r="E6" s="61">
        <v>0.9105</v>
      </c>
      <c r="F6" s="61">
        <v>0.0552</v>
      </c>
      <c r="G6" s="61">
        <v>0.0074</v>
      </c>
      <c r="H6" s="61">
        <v>0.0026000000000000003</v>
      </c>
      <c r="I6" s="61">
        <v>0.0001</v>
      </c>
      <c r="J6" s="61">
        <v>0.0006</v>
      </c>
    </row>
    <row r="7" spans="2:10" ht="12.75">
      <c r="B7" s="10" t="s">
        <v>20</v>
      </c>
      <c r="C7" s="61">
        <v>0.0002</v>
      </c>
      <c r="D7" s="61">
        <v>0.0033000000000000004</v>
      </c>
      <c r="E7" s="61">
        <v>0.059500000000000004</v>
      </c>
      <c r="F7" s="61">
        <v>0.8693000000000001</v>
      </c>
      <c r="G7" s="61">
        <v>0.053</v>
      </c>
      <c r="H7" s="61">
        <v>0.0117</v>
      </c>
      <c r="I7" s="61">
        <v>0.0012</v>
      </c>
      <c r="J7" s="61">
        <v>0.0018</v>
      </c>
    </row>
    <row r="8" spans="2:10" ht="12.75">
      <c r="B8" s="10" t="s">
        <v>21</v>
      </c>
      <c r="C8" s="61">
        <v>0.0003</v>
      </c>
      <c r="D8" s="61">
        <v>0.0014000000000000002</v>
      </c>
      <c r="E8" s="61">
        <v>0.0067</v>
      </c>
      <c r="F8" s="61">
        <v>0.07730000000000001</v>
      </c>
      <c r="G8" s="61">
        <v>0.8053</v>
      </c>
      <c r="H8" s="61">
        <v>0.0884</v>
      </c>
      <c r="I8" s="61">
        <v>0.01</v>
      </c>
      <c r="J8" s="61">
        <v>0.0106</v>
      </c>
    </row>
    <row r="9" spans="2:10" ht="12.75">
      <c r="B9" s="10" t="s">
        <v>22</v>
      </c>
      <c r="C9" s="61">
        <v>0</v>
      </c>
      <c r="D9" s="61">
        <v>0.0011</v>
      </c>
      <c r="E9" s="61">
        <v>0.0024</v>
      </c>
      <c r="F9" s="61">
        <v>0.0043</v>
      </c>
      <c r="G9" s="61">
        <v>0.06480000000000001</v>
      </c>
      <c r="H9" s="61">
        <v>0.8346</v>
      </c>
      <c r="I9" s="61">
        <v>0.04070000000000001</v>
      </c>
      <c r="J9" s="61">
        <v>0.052000000000000005</v>
      </c>
    </row>
    <row r="10" spans="2:10" ht="12.75">
      <c r="B10" s="11" t="s">
        <v>23</v>
      </c>
      <c r="C10" s="62">
        <v>0.0022</v>
      </c>
      <c r="D10" s="62">
        <v>0</v>
      </c>
      <c r="E10" s="62">
        <v>0.0022</v>
      </c>
      <c r="F10" s="62">
        <v>0.013000000000000001</v>
      </c>
      <c r="G10" s="62">
        <v>0.023799999999999998</v>
      </c>
      <c r="H10" s="62">
        <v>0.1124</v>
      </c>
      <c r="I10" s="62">
        <v>0.6486</v>
      </c>
      <c r="J10" s="62">
        <v>0.1979</v>
      </c>
    </row>
    <row r="12" ht="12.75">
      <c r="H12" s="34"/>
    </row>
    <row r="13" spans="2:6" ht="12.75">
      <c r="B13" s="38" t="s">
        <v>44</v>
      </c>
      <c r="C13" s="49" t="s">
        <v>40</v>
      </c>
      <c r="D13" s="40"/>
      <c r="E13" s="39" t="s">
        <v>43</v>
      </c>
      <c r="F13" s="40"/>
    </row>
    <row r="14" spans="2:6" ht="12.75">
      <c r="B14" s="41" t="s">
        <v>45</v>
      </c>
      <c r="C14" s="50" t="s">
        <v>41</v>
      </c>
      <c r="D14" s="42" t="s">
        <v>42</v>
      </c>
      <c r="E14" s="5" t="s">
        <v>41</v>
      </c>
      <c r="F14" s="42" t="s">
        <v>42</v>
      </c>
    </row>
    <row r="15" spans="2:6" ht="12.75">
      <c r="B15" s="43" t="s">
        <v>17</v>
      </c>
      <c r="C15" s="51">
        <f>C$8</f>
        <v>0.0003</v>
      </c>
      <c r="D15" s="44">
        <f>NORMSINV(1-SUM(C$15:C15))</f>
        <v>3.43161440362298</v>
      </c>
      <c r="E15" s="36">
        <f>C$6</f>
        <v>0.0009</v>
      </c>
      <c r="F15" s="44">
        <f>NORMSINV(1-SUM(E$15:E15))</f>
        <v>3.12138914935983</v>
      </c>
    </row>
    <row r="16" spans="2:6" ht="12.75">
      <c r="B16" s="45" t="s">
        <v>18</v>
      </c>
      <c r="C16" s="51">
        <f>D$8</f>
        <v>0.0014000000000000002</v>
      </c>
      <c r="D16" s="44">
        <f>NORMSINV(1-SUM(C$15:C16))</f>
        <v>2.9290497489376337</v>
      </c>
      <c r="E16" s="36">
        <f>D$6</f>
        <v>0.0227</v>
      </c>
      <c r="F16" s="44">
        <f>NORMSINV(1-SUM(E$15:E16))</f>
        <v>1.984501150135424</v>
      </c>
    </row>
    <row r="17" spans="2:6" ht="12.75">
      <c r="B17" s="45" t="s">
        <v>19</v>
      </c>
      <c r="C17" s="51">
        <f>E$8</f>
        <v>0.0067</v>
      </c>
      <c r="D17" s="44">
        <f>NORMSINV(1-SUM(C$15:C17))</f>
        <v>2.391055785778306</v>
      </c>
      <c r="E17" s="36">
        <f>E$6</f>
        <v>0.9105</v>
      </c>
      <c r="F17" s="44">
        <f>NORMSINV(1-SUM(E$15:E17))</f>
        <v>-1.5070415784970752</v>
      </c>
    </row>
    <row r="18" spans="2:6" ht="12.75">
      <c r="B18" s="45" t="s">
        <v>20</v>
      </c>
      <c r="C18" s="51">
        <f>F$8</f>
        <v>0.07730000000000001</v>
      </c>
      <c r="D18" s="44">
        <f>NORMSINV(1-SUM(C$15:C18))</f>
        <v>1.367719160636112</v>
      </c>
      <c r="E18" s="36">
        <f>F$6</f>
        <v>0.0552</v>
      </c>
      <c r="F18" s="44">
        <f>NORMSINV(1-SUM(E$15:E18))</f>
        <v>-2.300851965340213</v>
      </c>
    </row>
    <row r="19" spans="2:6" ht="12.75">
      <c r="B19" s="45" t="s">
        <v>21</v>
      </c>
      <c r="C19" s="51">
        <f>G$8</f>
        <v>0.8053</v>
      </c>
      <c r="D19" s="44">
        <f>NORMSINV(1-SUM(C$15:C19))</f>
        <v>-1.2318637087349842</v>
      </c>
      <c r="E19" s="36">
        <f>G$6</f>
        <v>0.0074</v>
      </c>
      <c r="F19" s="44">
        <f>NORMSINV(1-SUM(E$15:E19))</f>
        <v>-2.7163805834608663</v>
      </c>
    </row>
    <row r="20" spans="2:6" ht="12.75">
      <c r="B20" s="45" t="s">
        <v>22</v>
      </c>
      <c r="C20" s="51">
        <f>H$8</f>
        <v>0.0884</v>
      </c>
      <c r="D20" s="44">
        <f>NORMSINV(1-SUM(C$15:C20))</f>
        <v>-2.041511620718012</v>
      </c>
      <c r="E20" s="36">
        <f>H$6</f>
        <v>0.0026000000000000003</v>
      </c>
      <c r="F20" s="44">
        <f>NORMSINV(1-SUM(E$15:E20))</f>
        <v>-3.1946510537632005</v>
      </c>
    </row>
    <row r="21" spans="2:6" ht="12.75">
      <c r="B21" s="45" t="s">
        <v>23</v>
      </c>
      <c r="C21" s="51">
        <f>I$8</f>
        <v>0.01</v>
      </c>
      <c r="D21" s="44">
        <f>NORMSINV(1-SUM(C$15:C21))</f>
        <v>-2.304403566359473</v>
      </c>
      <c r="E21" s="36">
        <f>I$6</f>
        <v>0.0001</v>
      </c>
      <c r="F21" s="44">
        <f>NORMSINV(1-SUM(E$15:E21))</f>
        <v>-3.238880118352977</v>
      </c>
    </row>
    <row r="22" spans="2:6" ht="12.75">
      <c r="B22" s="46" t="s">
        <v>24</v>
      </c>
      <c r="C22" s="52">
        <f>J$8</f>
        <v>0.0106</v>
      </c>
      <c r="D22" s="48"/>
      <c r="E22" s="30">
        <f>J$6</f>
        <v>0.0006</v>
      </c>
      <c r="F22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2:AJ21"/>
  <sheetViews>
    <sheetView showGridLines="0" workbookViewId="0" topLeftCell="A1">
      <selection activeCell="A1" sqref="A1"/>
    </sheetView>
  </sheetViews>
  <sheetFormatPr defaultColWidth="9.33203125" defaultRowHeight="12.75" outlineLevelCol="1"/>
  <cols>
    <col min="5" max="11" width="0" style="0" hidden="1" customWidth="1" outlineLevel="1"/>
    <col min="12" max="12" width="9.5" style="0" bestFit="1" customWidth="1" collapsed="1"/>
    <col min="13" max="19" width="0" style="0" hidden="1" customWidth="1" outlineLevel="1"/>
    <col min="20" max="20" width="9.5" style="0" bestFit="1" customWidth="1" collapsed="1"/>
    <col min="21" max="27" width="0" style="0" hidden="1" customWidth="1" outlineLevel="1"/>
    <col min="28" max="28" width="9.5" style="0" bestFit="1" customWidth="1" collapsed="1"/>
    <col min="29" max="35" width="0" style="0" hidden="1" customWidth="1" outlineLevel="1"/>
    <col min="36" max="36" width="9.5" style="0" bestFit="1" customWidth="1" collapsed="1"/>
  </cols>
  <sheetData>
    <row r="2" spans="2:3" ht="15">
      <c r="B2" s="26" t="s">
        <v>52</v>
      </c>
      <c r="C2" s="12">
        <v>100</v>
      </c>
    </row>
    <row r="3" spans="2:3" ht="12.75">
      <c r="B3" s="27" t="s">
        <v>3</v>
      </c>
      <c r="C3" s="13">
        <v>1</v>
      </c>
    </row>
    <row r="4" spans="2:3" ht="12.75">
      <c r="B4" s="27" t="s">
        <v>46</v>
      </c>
      <c r="C4" s="25">
        <v>0.1</v>
      </c>
    </row>
    <row r="5" spans="2:3" ht="12.75">
      <c r="B5" s="53" t="s">
        <v>47</v>
      </c>
      <c r="C5" s="47">
        <f>LN(1+C4)</f>
        <v>0.09531017980432493</v>
      </c>
    </row>
    <row r="7" spans="3:36" ht="12.75">
      <c r="C7" s="4" t="s">
        <v>48</v>
      </c>
      <c r="L7" s="34"/>
      <c r="T7" s="34"/>
      <c r="AB7" s="34"/>
      <c r="AJ7" s="34"/>
    </row>
    <row r="8" spans="3:36" ht="15">
      <c r="C8" s="54" t="s">
        <v>49</v>
      </c>
      <c r="D8" s="11" t="s">
        <v>50</v>
      </c>
      <c r="E8" s="55" t="s">
        <v>0</v>
      </c>
      <c r="F8" s="55" t="s">
        <v>1</v>
      </c>
      <c r="G8" s="55" t="s">
        <v>51</v>
      </c>
      <c r="H8" s="55" t="s">
        <v>2</v>
      </c>
      <c r="I8" s="55" t="s">
        <v>53</v>
      </c>
      <c r="J8" s="55" t="s">
        <v>54</v>
      </c>
      <c r="K8" s="55" t="s">
        <v>55</v>
      </c>
      <c r="L8" s="56">
        <v>0.05</v>
      </c>
      <c r="M8" s="55" t="s">
        <v>0</v>
      </c>
      <c r="N8" s="55" t="s">
        <v>1</v>
      </c>
      <c r="O8" s="55" t="s">
        <v>51</v>
      </c>
      <c r="P8" s="55" t="s">
        <v>2</v>
      </c>
      <c r="Q8" s="55" t="s">
        <v>53</v>
      </c>
      <c r="R8" s="55" t="s">
        <v>54</v>
      </c>
      <c r="S8" s="55" t="s">
        <v>55</v>
      </c>
      <c r="T8" s="56">
        <v>0.1</v>
      </c>
      <c r="U8" s="55" t="s">
        <v>0</v>
      </c>
      <c r="V8" s="55" t="s">
        <v>1</v>
      </c>
      <c r="W8" s="55" t="s">
        <v>51</v>
      </c>
      <c r="X8" s="55" t="s">
        <v>2</v>
      </c>
      <c r="Y8" s="55" t="s">
        <v>53</v>
      </c>
      <c r="Z8" s="55" t="s">
        <v>54</v>
      </c>
      <c r="AA8" s="55" t="s">
        <v>55</v>
      </c>
      <c r="AB8" s="56">
        <v>0.2</v>
      </c>
      <c r="AC8" s="55" t="s">
        <v>0</v>
      </c>
      <c r="AD8" s="55" t="s">
        <v>1</v>
      </c>
      <c r="AE8" s="55" t="s">
        <v>51</v>
      </c>
      <c r="AF8" s="55" t="s">
        <v>2</v>
      </c>
      <c r="AG8" s="55" t="s">
        <v>53</v>
      </c>
      <c r="AH8" s="55" t="s">
        <v>54</v>
      </c>
      <c r="AI8" s="55" t="s">
        <v>55</v>
      </c>
      <c r="AJ8" s="56">
        <v>0.4</v>
      </c>
    </row>
    <row r="9" spans="3:36" ht="12.75">
      <c r="C9" s="1">
        <v>0.5</v>
      </c>
      <c r="D9" s="1">
        <f aca="true" t="shared" si="0" ref="D9:D14">C9*$C$2*EXP($C$5*$C$3)</f>
        <v>55.00000000000001</v>
      </c>
      <c r="E9">
        <f aca="true" t="shared" si="1" ref="E9:E14">(LN($C$2/$D9)+($C$5+POWER(L$8,2)/2)*$C$3)/(L$8*SQRT($C$3))</f>
        <v>13.887943611198905</v>
      </c>
      <c r="F9">
        <f aca="true" t="shared" si="2" ref="F9:F14">E9-L$8*SQRT($C$3)</f>
        <v>13.837943611198904</v>
      </c>
      <c r="G9">
        <f aca="true" t="shared" si="3" ref="G9:G14">NORMSDIST(-E9)</f>
        <v>3.7478278274539895E-44</v>
      </c>
      <c r="H9">
        <f aca="true" t="shared" si="4" ref="H9:H14">NORMSDIST(-F9)</f>
        <v>7.5224640757076E-44</v>
      </c>
      <c r="I9" s="57">
        <f aca="true" t="shared" si="5" ref="I9:I14">-G9*$C$2+$D9*EXP(-$C$5*$C$3)*H9</f>
        <v>1.340421039981071E-44</v>
      </c>
      <c r="J9" s="57">
        <f aca="true" t="shared" si="6" ref="J9:J14">$D9*EXP(-$C$5*$C$3)-I9</f>
        <v>50.00000000000001</v>
      </c>
      <c r="K9" s="57">
        <f aca="true" t="shared" si="7" ref="K9:K14">$D9/J9-1</f>
        <v>0.10000000000000009</v>
      </c>
      <c r="L9" s="58">
        <f aca="true" t="shared" si="8" ref="L9:L14">K9-$C$4</f>
        <v>0</v>
      </c>
      <c r="M9" s="1">
        <f aca="true" t="shared" si="9" ref="M9:M14">(LN($C$2/$D9)+($C$5+POWER(T$8,2)/2)*$C$3)/(T$8*SQRT($C$3))</f>
        <v>6.981471805599453</v>
      </c>
      <c r="N9" s="1">
        <f aca="true" t="shared" si="10" ref="N9:N14">M9-T$8*SQRT($C$3)</f>
        <v>6.881471805599453</v>
      </c>
      <c r="O9" s="1">
        <f aca="true" t="shared" si="11" ref="O9:O14">NORMSDIST(-M9)</f>
        <v>1.4605176714613254E-12</v>
      </c>
      <c r="P9" s="1">
        <f aca="true" t="shared" si="12" ref="P9:P14">NORMSDIST(-N9)</f>
        <v>2.961865009238516E-12</v>
      </c>
      <c r="Q9" s="59">
        <f aca="true" t="shared" si="13" ref="Q9:Q14">-O9*$C$2+$D9*EXP(-$C$5*$C$3)*P9</f>
        <v>2.041483315793269E-12</v>
      </c>
      <c r="R9" s="59">
        <f aca="true" t="shared" si="14" ref="R9:R14">$D9*EXP(-$C$5*$C$3)-Q9</f>
        <v>49.99999999999797</v>
      </c>
      <c r="S9" s="59">
        <f aca="true" t="shared" si="15" ref="S9:S14">$D9/R9-1</f>
        <v>0.10000000000004494</v>
      </c>
      <c r="T9" s="58">
        <f aca="true" t="shared" si="16" ref="T9:T14">S9-$C$4</f>
        <v>4.493627692170321E-14</v>
      </c>
      <c r="U9" s="1">
        <f aca="true" t="shared" si="17" ref="U9:U14">(LN($C$2/$D9)+($C$5+POWER(AB$8,2)/2)*$C$3)/(AB$8*SQRT($C$3))</f>
        <v>3.5657359027997257</v>
      </c>
      <c r="V9" s="1">
        <f aca="true" t="shared" si="18" ref="V9:V14">U9-AB$8*SQRT($C$3)</f>
        <v>3.3657359027997256</v>
      </c>
      <c r="W9" s="1">
        <f aca="true" t="shared" si="19" ref="W9:W14">NORMSDIST(-U9)</f>
        <v>0.00018141830841122975</v>
      </c>
      <c r="X9" s="1">
        <f aca="true" t="shared" si="20" ref="X9:X14">NORMSDIST(-V9)</f>
        <v>0.00038169879858274136</v>
      </c>
      <c r="Y9" s="59">
        <f aca="true" t="shared" si="21" ref="Y9:Y14">-W9*$C$2+$D9*EXP(-$C$5*$C$3)*X9</f>
        <v>0.000943109088014097</v>
      </c>
      <c r="Z9" s="59">
        <f aca="true" t="shared" si="22" ref="Z9:Z14">$D9*EXP(-$C$5*$C$3)-Y9</f>
        <v>49.999056890911994</v>
      </c>
      <c r="AA9" s="59">
        <f aca="true" t="shared" si="23" ref="AA9:AA14">$D9/Z9-1</f>
        <v>0.10002074879130385</v>
      </c>
      <c r="AB9" s="58">
        <f aca="true" t="shared" si="24" ref="AB9:AB14">AA9-$C$4</f>
        <v>2.0748791303842884E-05</v>
      </c>
      <c r="AC9" s="1">
        <f aca="true" t="shared" si="25" ref="AC9:AC14">(LN($C$2/$D9)+($C$5+POWER(AJ$8,2)/2)*$C$3)/(AJ$8*SQRT($C$3))</f>
        <v>1.932867951399863</v>
      </c>
      <c r="AD9" s="1">
        <f aca="true" t="shared" si="26" ref="AD9:AD14">AC9-AJ$8*SQRT($C$3)</f>
        <v>1.5328679513998629</v>
      </c>
      <c r="AE9" s="1">
        <f aca="true" t="shared" si="27" ref="AE9:AE14">NORMSDIST(-AC9)</f>
        <v>0.026626233403481803</v>
      </c>
      <c r="AF9" s="1">
        <f aca="true" t="shared" si="28" ref="AF9:AF14">NORMSDIST(-AD9)</f>
        <v>0.06265419689040597</v>
      </c>
      <c r="AG9" s="59">
        <f aca="true" t="shared" si="29" ref="AG9:AG14">-AE9*$C$2+$D9*EXP(-$C$5*$C$3)*AF9</f>
        <v>0.4700865041721185</v>
      </c>
      <c r="AH9" s="59">
        <f aca="true" t="shared" si="30" ref="AH9:AH14">$D9*EXP(-$C$5*$C$3)-AG9</f>
        <v>49.52991349582789</v>
      </c>
      <c r="AI9" s="59">
        <f aca="true" t="shared" si="31" ref="AI9:AI14">$D9/AH9-1</f>
        <v>0.11044005769630272</v>
      </c>
      <c r="AJ9" s="58">
        <f aca="true" t="shared" si="32" ref="AJ9:AJ14">AI9-$C$4</f>
        <v>0.010440057696302713</v>
      </c>
    </row>
    <row r="10" spans="3:36" ht="12.75">
      <c r="C10" s="1">
        <v>0.6</v>
      </c>
      <c r="D10" s="1">
        <f t="shared" si="0"/>
        <v>66</v>
      </c>
      <c r="E10">
        <f t="shared" si="1"/>
        <v>10.241512475319814</v>
      </c>
      <c r="F10">
        <f t="shared" si="2"/>
        <v>10.191512475319813</v>
      </c>
      <c r="G10">
        <f t="shared" si="3"/>
        <v>6.460029504264294E-25</v>
      </c>
      <c r="H10">
        <f t="shared" si="4"/>
        <v>1.0818568673331978E-24</v>
      </c>
      <c r="I10" s="57">
        <f t="shared" si="5"/>
        <v>3.1111699734892636E-25</v>
      </c>
      <c r="J10" s="57">
        <f t="shared" si="6"/>
        <v>60</v>
      </c>
      <c r="K10" s="57">
        <f t="shared" si="7"/>
        <v>0.10000000000000009</v>
      </c>
      <c r="L10" s="58">
        <f t="shared" si="8"/>
        <v>0</v>
      </c>
      <c r="M10" s="1">
        <f t="shared" si="9"/>
        <v>5.158256237659907</v>
      </c>
      <c r="N10" s="1">
        <f t="shared" si="10"/>
        <v>5.058256237659907</v>
      </c>
      <c r="O10" s="1">
        <f t="shared" si="11"/>
        <v>1.2463017362689024E-07</v>
      </c>
      <c r="P10" s="1">
        <f t="shared" si="12"/>
        <v>2.11553827300395E-07</v>
      </c>
      <c r="Q10" s="59">
        <f t="shared" si="13"/>
        <v>2.3021227533467594E-07</v>
      </c>
      <c r="R10" s="59">
        <f t="shared" si="14"/>
        <v>59.99999976978773</v>
      </c>
      <c r="S10" s="59">
        <f t="shared" si="15"/>
        <v>0.10000000422055844</v>
      </c>
      <c r="T10" s="58">
        <f t="shared" si="16"/>
        <v>4.220558430523269E-09</v>
      </c>
      <c r="U10" s="1">
        <f t="shared" si="17"/>
        <v>2.6541281188299535</v>
      </c>
      <c r="V10" s="1">
        <f t="shared" si="18"/>
        <v>2.4541281188299533</v>
      </c>
      <c r="W10" s="1">
        <f t="shared" si="19"/>
        <v>0.003975681522177865</v>
      </c>
      <c r="X10" s="1">
        <f t="shared" si="20"/>
        <v>0.007061332735417203</v>
      </c>
      <c r="Y10" s="59">
        <f t="shared" si="21"/>
        <v>0.026111811907245652</v>
      </c>
      <c r="Z10" s="59">
        <f t="shared" si="22"/>
        <v>59.97388818809276</v>
      </c>
      <c r="AA10" s="59">
        <f t="shared" si="23"/>
        <v>0.10047892497828204</v>
      </c>
      <c r="AB10" s="58">
        <f t="shared" si="24"/>
        <v>0.0004789249782820304</v>
      </c>
      <c r="AC10" s="1">
        <f t="shared" si="25"/>
        <v>1.4770640594149769</v>
      </c>
      <c r="AD10" s="1">
        <f t="shared" si="26"/>
        <v>1.077064059414977</v>
      </c>
      <c r="AE10" s="1">
        <f t="shared" si="27"/>
        <v>0.06982923325929513</v>
      </c>
      <c r="AF10" s="1">
        <f t="shared" si="28"/>
        <v>0.14072582406415624</v>
      </c>
      <c r="AG10" s="59">
        <f t="shared" si="29"/>
        <v>1.460626117919861</v>
      </c>
      <c r="AH10" s="59">
        <f t="shared" si="30"/>
        <v>58.53937388208014</v>
      </c>
      <c r="AI10" s="59">
        <f t="shared" si="31"/>
        <v>0.1274462916694037</v>
      </c>
      <c r="AJ10" s="58">
        <f t="shared" si="32"/>
        <v>0.027446291669403683</v>
      </c>
    </row>
    <row r="11" spans="3:36" ht="12.75">
      <c r="C11" s="1">
        <v>0.7</v>
      </c>
      <c r="D11" s="1">
        <f t="shared" si="0"/>
        <v>77</v>
      </c>
      <c r="E11">
        <f t="shared" si="1"/>
        <v>7.158498878774648</v>
      </c>
      <c r="F11">
        <f t="shared" si="2"/>
        <v>7.108498878774649</v>
      </c>
      <c r="G11">
        <f t="shared" si="3"/>
        <v>4.078262772256903E-13</v>
      </c>
      <c r="H11">
        <f t="shared" si="4"/>
        <v>5.865592570919306E-13</v>
      </c>
      <c r="I11" s="57">
        <f t="shared" si="5"/>
        <v>2.7652027386610974E-13</v>
      </c>
      <c r="J11" s="57">
        <f t="shared" si="6"/>
        <v>69.99999999999973</v>
      </c>
      <c r="K11" s="57">
        <f t="shared" si="7"/>
        <v>0.10000000000000431</v>
      </c>
      <c r="L11" s="58">
        <f t="shared" si="8"/>
        <v>4.3021142204224816E-15</v>
      </c>
      <c r="M11" s="1">
        <f t="shared" si="9"/>
        <v>3.6167494393873243</v>
      </c>
      <c r="N11" s="1">
        <f t="shared" si="10"/>
        <v>3.516749439387324</v>
      </c>
      <c r="O11" s="1">
        <f t="shared" si="11"/>
        <v>0.00014916291321087627</v>
      </c>
      <c r="P11" s="1">
        <f t="shared" si="12"/>
        <v>0.0002184329811125707</v>
      </c>
      <c r="Q11" s="59">
        <f t="shared" si="13"/>
        <v>0.0003740173567923222</v>
      </c>
      <c r="R11" s="59">
        <f t="shared" si="14"/>
        <v>69.99962598264321</v>
      </c>
      <c r="S11" s="59">
        <f t="shared" si="15"/>
        <v>0.1000058774470105</v>
      </c>
      <c r="T11" s="58">
        <f t="shared" si="16"/>
        <v>5.877447010499415E-06</v>
      </c>
      <c r="U11" s="1">
        <f t="shared" si="17"/>
        <v>1.8833747196936623</v>
      </c>
      <c r="V11" s="1">
        <f t="shared" si="18"/>
        <v>1.6833747196936624</v>
      </c>
      <c r="W11" s="1">
        <f t="shared" si="19"/>
        <v>0.02982480192552961</v>
      </c>
      <c r="X11" s="1">
        <f t="shared" si="20"/>
        <v>0.04615128699207727</v>
      </c>
      <c r="Y11" s="59">
        <f t="shared" si="21"/>
        <v>0.24810989689244778</v>
      </c>
      <c r="Z11" s="59">
        <f t="shared" si="22"/>
        <v>69.75189010310756</v>
      </c>
      <c r="AA11" s="59">
        <f t="shared" si="23"/>
        <v>0.10391273822369906</v>
      </c>
      <c r="AB11" s="58">
        <f t="shared" si="24"/>
        <v>0.003912738223699058</v>
      </c>
      <c r="AC11" s="1">
        <f t="shared" si="25"/>
        <v>1.091687359846831</v>
      </c>
      <c r="AD11" s="1">
        <f t="shared" si="26"/>
        <v>0.691687359846831</v>
      </c>
      <c r="AE11" s="1">
        <f t="shared" si="27"/>
        <v>0.13748527146517187</v>
      </c>
      <c r="AF11" s="1">
        <f t="shared" si="28"/>
        <v>0.24456684331275325</v>
      </c>
      <c r="AG11" s="59">
        <f t="shared" si="29"/>
        <v>3.3711518853755393</v>
      </c>
      <c r="AH11" s="59">
        <f t="shared" si="30"/>
        <v>66.62884811462446</v>
      </c>
      <c r="AI11" s="59">
        <f t="shared" si="31"/>
        <v>0.15565557830946752</v>
      </c>
      <c r="AJ11" s="58">
        <f t="shared" si="32"/>
        <v>0.05565557830946752</v>
      </c>
    </row>
    <row r="12" spans="3:36" ht="12.75">
      <c r="C12" s="1">
        <v>0.8</v>
      </c>
      <c r="D12" s="1">
        <f t="shared" si="0"/>
        <v>88</v>
      </c>
      <c r="E12">
        <f t="shared" si="1"/>
        <v>4.487871026284198</v>
      </c>
      <c r="F12">
        <f t="shared" si="2"/>
        <v>4.437871026284198</v>
      </c>
      <c r="G12">
        <f t="shared" si="3"/>
        <v>3.59692274254364E-06</v>
      </c>
      <c r="H12">
        <f t="shared" si="4"/>
        <v>4.542651390160302E-06</v>
      </c>
      <c r="I12" s="57">
        <f t="shared" si="5"/>
        <v>3.719836958460121E-06</v>
      </c>
      <c r="J12" s="57">
        <f t="shared" si="6"/>
        <v>79.99999628016305</v>
      </c>
      <c r="K12" s="57">
        <f t="shared" si="7"/>
        <v>0.10000005114776056</v>
      </c>
      <c r="L12" s="58">
        <f t="shared" si="8"/>
        <v>5.1147760554703936E-08</v>
      </c>
      <c r="M12" s="1">
        <f t="shared" si="9"/>
        <v>2.281435513142099</v>
      </c>
      <c r="N12" s="1">
        <f t="shared" si="10"/>
        <v>2.181435513142099</v>
      </c>
      <c r="O12" s="1">
        <f t="shared" si="11"/>
        <v>0.011261344295347642</v>
      </c>
      <c r="P12" s="1">
        <f t="shared" si="12"/>
        <v>0.0145756096619577</v>
      </c>
      <c r="Q12" s="59">
        <f t="shared" si="13"/>
        <v>0.03991434342185185</v>
      </c>
      <c r="R12" s="59">
        <f t="shared" si="14"/>
        <v>79.96008565657814</v>
      </c>
      <c r="S12" s="59">
        <f t="shared" si="15"/>
        <v>0.10054909618222041</v>
      </c>
      <c r="T12" s="58">
        <f t="shared" si="16"/>
        <v>0.0005490961822204043</v>
      </c>
      <c r="U12" s="1">
        <f t="shared" si="17"/>
        <v>1.2157177565710497</v>
      </c>
      <c r="V12" s="1">
        <f t="shared" si="18"/>
        <v>1.0157177565710498</v>
      </c>
      <c r="W12" s="1">
        <f t="shared" si="19"/>
        <v>0.11204622881638504</v>
      </c>
      <c r="X12" s="1">
        <f t="shared" si="20"/>
        <v>0.1548819049356116</v>
      </c>
      <c r="Y12" s="59">
        <f t="shared" si="21"/>
        <v>1.185929513210425</v>
      </c>
      <c r="Z12" s="59">
        <f t="shared" si="22"/>
        <v>78.81407048678957</v>
      </c>
      <c r="AA12" s="59">
        <f t="shared" si="23"/>
        <v>0.11655189811253464</v>
      </c>
      <c r="AB12" s="58">
        <f t="shared" si="24"/>
        <v>0.01655189811253463</v>
      </c>
      <c r="AC12" s="1">
        <f t="shared" si="25"/>
        <v>0.7578588782855248</v>
      </c>
      <c r="AD12" s="1">
        <f t="shared" si="26"/>
        <v>0.35785887828552476</v>
      </c>
      <c r="AE12" s="1">
        <f t="shared" si="27"/>
        <v>0.22426773508595121</v>
      </c>
      <c r="AF12" s="1">
        <f t="shared" si="28"/>
        <v>0.36022446291386956</v>
      </c>
      <c r="AG12" s="59">
        <f t="shared" si="29"/>
        <v>6.391183524514442</v>
      </c>
      <c r="AH12" s="59">
        <f t="shared" si="30"/>
        <v>73.60881647548555</v>
      </c>
      <c r="AI12" s="59">
        <f t="shared" si="31"/>
        <v>0.19550896500702786</v>
      </c>
      <c r="AJ12" s="58">
        <f t="shared" si="32"/>
        <v>0.09550896500702785</v>
      </c>
    </row>
    <row r="13" spans="3:36" ht="12.75">
      <c r="C13" s="1">
        <v>0.9</v>
      </c>
      <c r="D13" s="1">
        <f t="shared" si="0"/>
        <v>99.00000000000001</v>
      </c>
      <c r="E13">
        <f t="shared" si="1"/>
        <v>2.1322103131565244</v>
      </c>
      <c r="F13">
        <f t="shared" si="2"/>
        <v>2.0822103131565246</v>
      </c>
      <c r="G13">
        <f t="shared" si="3"/>
        <v>0.016494780510855955</v>
      </c>
      <c r="H13">
        <f t="shared" si="4"/>
        <v>0.018661631835963144</v>
      </c>
      <c r="I13" s="57">
        <f t="shared" si="5"/>
        <v>0.03006881415108764</v>
      </c>
      <c r="J13" s="57">
        <f t="shared" si="6"/>
        <v>89.96993118584892</v>
      </c>
      <c r="K13" s="57">
        <f t="shared" si="7"/>
        <v>0.10036763055312203</v>
      </c>
      <c r="L13" s="58">
        <f t="shared" si="8"/>
        <v>0.0003676305531220281</v>
      </c>
      <c r="M13" s="1">
        <f t="shared" si="9"/>
        <v>1.1036051565782623</v>
      </c>
      <c r="N13" s="1">
        <f t="shared" si="10"/>
        <v>1.0036051565782622</v>
      </c>
      <c r="O13" s="1">
        <f t="shared" si="11"/>
        <v>0.13488222667903038</v>
      </c>
      <c r="P13" s="1">
        <f t="shared" si="12"/>
        <v>0.15778448404418577</v>
      </c>
      <c r="Q13" s="59">
        <f t="shared" si="13"/>
        <v>0.7123808960736842</v>
      </c>
      <c r="R13" s="59">
        <f t="shared" si="14"/>
        <v>89.28761910392633</v>
      </c>
      <c r="S13" s="59">
        <f t="shared" si="15"/>
        <v>0.10877634540539094</v>
      </c>
      <c r="T13" s="58">
        <f t="shared" si="16"/>
        <v>0.008776345405390934</v>
      </c>
      <c r="U13" s="1">
        <f t="shared" si="17"/>
        <v>0.626802578289131</v>
      </c>
      <c r="V13" s="1">
        <f t="shared" si="18"/>
        <v>0.426802578289131</v>
      </c>
      <c r="W13" s="1">
        <f t="shared" si="19"/>
        <v>0.2653943266219443</v>
      </c>
      <c r="X13" s="1">
        <f t="shared" si="20"/>
        <v>0.33476156420276915</v>
      </c>
      <c r="Y13" s="59">
        <f t="shared" si="21"/>
        <v>3.589108116054799</v>
      </c>
      <c r="Z13" s="59">
        <f t="shared" si="22"/>
        <v>86.41089188394521</v>
      </c>
      <c r="AA13" s="59">
        <f t="shared" si="23"/>
        <v>0.1456889038127589</v>
      </c>
      <c r="AB13" s="58">
        <f t="shared" si="24"/>
        <v>0.04568890381275889</v>
      </c>
      <c r="AC13" s="1">
        <f t="shared" si="25"/>
        <v>0.4634012891445656</v>
      </c>
      <c r="AD13" s="1">
        <f t="shared" si="26"/>
        <v>0.06340128914456555</v>
      </c>
      <c r="AE13" s="1">
        <f t="shared" si="27"/>
        <v>0.32153837739365576</v>
      </c>
      <c r="AF13" s="1">
        <f t="shared" si="28"/>
        <v>0.47472348036477174</v>
      </c>
      <c r="AG13" s="59">
        <f t="shared" si="29"/>
        <v>10.571275493463887</v>
      </c>
      <c r="AH13" s="59">
        <f t="shared" si="30"/>
        <v>79.42872450653613</v>
      </c>
      <c r="AI13" s="59">
        <f t="shared" si="31"/>
        <v>0.2464004755842879</v>
      </c>
      <c r="AJ13" s="58">
        <f t="shared" si="32"/>
        <v>0.1464004755842879</v>
      </c>
    </row>
    <row r="14" spans="3:36" ht="12.75">
      <c r="C14" s="1">
        <v>1</v>
      </c>
      <c r="D14" s="1">
        <f t="shared" si="0"/>
        <v>110.00000000000001</v>
      </c>
      <c r="E14">
        <f t="shared" si="1"/>
        <v>0.024999999999998357</v>
      </c>
      <c r="F14">
        <f t="shared" si="2"/>
        <v>-0.025000000000001646</v>
      </c>
      <c r="G14">
        <f t="shared" si="3"/>
        <v>0.49002748180476263</v>
      </c>
      <c r="H14">
        <f t="shared" si="4"/>
        <v>0.5099725181952387</v>
      </c>
      <c r="I14" s="57">
        <f t="shared" si="5"/>
        <v>1.9945036390476147</v>
      </c>
      <c r="J14" s="57">
        <f t="shared" si="6"/>
        <v>98.0054963609524</v>
      </c>
      <c r="K14" s="57">
        <f t="shared" si="7"/>
        <v>0.1223860302168367</v>
      </c>
      <c r="L14" s="58">
        <f t="shared" si="8"/>
        <v>0.02238603021683669</v>
      </c>
      <c r="M14" s="1">
        <f t="shared" si="9"/>
        <v>0.04999999999999921</v>
      </c>
      <c r="N14" s="1">
        <f t="shared" si="10"/>
        <v>-0.050000000000000794</v>
      </c>
      <c r="O14" s="1">
        <f t="shared" si="11"/>
        <v>0.48006119416162785</v>
      </c>
      <c r="P14" s="1">
        <f t="shared" si="12"/>
        <v>0.5199388058383728</v>
      </c>
      <c r="Q14" s="59">
        <f t="shared" si="13"/>
        <v>3.987761167674506</v>
      </c>
      <c r="R14" s="59">
        <f t="shared" si="14"/>
        <v>96.01223883232551</v>
      </c>
      <c r="S14" s="59">
        <f t="shared" si="15"/>
        <v>0.14568727214144594</v>
      </c>
      <c r="T14" s="58">
        <f t="shared" si="16"/>
        <v>0.04568727214144594</v>
      </c>
      <c r="U14" s="1">
        <f t="shared" si="17"/>
        <v>0.0999999999999996</v>
      </c>
      <c r="V14" s="1">
        <f t="shared" si="18"/>
        <v>-0.10000000000000041</v>
      </c>
      <c r="W14" s="1">
        <f t="shared" si="19"/>
        <v>0.4601721627229711</v>
      </c>
      <c r="X14" s="1">
        <f t="shared" si="20"/>
        <v>0.5398278372770291</v>
      </c>
      <c r="Y14" s="59">
        <f t="shared" si="21"/>
        <v>7.965567455405804</v>
      </c>
      <c r="Z14" s="59">
        <f t="shared" si="22"/>
        <v>92.03443254459421</v>
      </c>
      <c r="AA14" s="59">
        <f t="shared" si="23"/>
        <v>0.19520484843214292</v>
      </c>
      <c r="AB14" s="58">
        <f t="shared" si="24"/>
        <v>0.09520484843214291</v>
      </c>
      <c r="AC14" s="1">
        <f t="shared" si="25"/>
        <v>0.19999999999999982</v>
      </c>
      <c r="AD14" s="1">
        <f t="shared" si="26"/>
        <v>-0.2000000000000002</v>
      </c>
      <c r="AE14" s="1">
        <f t="shared" si="27"/>
        <v>0.420740290560897</v>
      </c>
      <c r="AF14" s="1">
        <f t="shared" si="28"/>
        <v>0.5792597094391031</v>
      </c>
      <c r="AG14" s="59">
        <f t="shared" si="29"/>
        <v>15.851941887820615</v>
      </c>
      <c r="AH14" s="59">
        <f t="shared" si="30"/>
        <v>84.1480581121794</v>
      </c>
      <c r="AI14" s="59">
        <f t="shared" si="31"/>
        <v>0.3072197085446333</v>
      </c>
      <c r="AJ14" s="58">
        <f t="shared" si="32"/>
        <v>0.2072197085446333</v>
      </c>
    </row>
    <row r="16" spans="12:36" ht="12.75">
      <c r="L16" s="60"/>
      <c r="T16" s="60"/>
      <c r="AB16" s="60"/>
      <c r="AJ16" s="60"/>
    </row>
    <row r="17" spans="3:36" ht="12.75">
      <c r="C17" t="s">
        <v>56</v>
      </c>
      <c r="L17" s="60"/>
      <c r="T17" s="60"/>
      <c r="AB17" s="60"/>
      <c r="AJ17" s="60"/>
    </row>
    <row r="18" spans="12:36" ht="12.75">
      <c r="L18" s="60"/>
      <c r="T18" s="60"/>
      <c r="AB18" s="60"/>
      <c r="AJ18" s="60"/>
    </row>
    <row r="19" spans="12:36" ht="12.75">
      <c r="L19" s="60"/>
      <c r="T19" s="60"/>
      <c r="AB19" s="60"/>
      <c r="AJ19" s="60"/>
    </row>
    <row r="20" spans="12:36" ht="12.75">
      <c r="L20" s="60"/>
      <c r="T20" s="60"/>
      <c r="AB20" s="60"/>
      <c r="AJ20" s="60"/>
    </row>
    <row r="21" spans="12:36" ht="12.75">
      <c r="L21" s="60"/>
      <c r="T21" s="60"/>
      <c r="AB21" s="60"/>
      <c r="AJ21" s="6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C3:H13"/>
  <sheetViews>
    <sheetView showGridLines="0" workbookViewId="0" topLeftCell="A1">
      <selection activeCell="G28" sqref="G28"/>
    </sheetView>
  </sheetViews>
  <sheetFormatPr defaultColWidth="9.33203125" defaultRowHeight="12.75"/>
  <cols>
    <col min="3" max="8" width="12.83203125" style="0" customWidth="1"/>
  </cols>
  <sheetData>
    <row r="3" spans="3:8" ht="12.75">
      <c r="C3" s="2"/>
      <c r="D3" s="15"/>
      <c r="E3" s="15"/>
      <c r="F3" s="15"/>
      <c r="G3" s="14" t="s">
        <v>57</v>
      </c>
      <c r="H3" s="65" t="s">
        <v>57</v>
      </c>
    </row>
    <row r="4" spans="3:8" ht="12.75">
      <c r="C4" s="45"/>
      <c r="D4" s="32"/>
      <c r="E4" s="32"/>
      <c r="F4" s="32"/>
      <c r="G4" s="32" t="s">
        <v>58</v>
      </c>
      <c r="H4" s="66" t="s">
        <v>59</v>
      </c>
    </row>
    <row r="5" spans="3:8" ht="15">
      <c r="C5" s="46" t="s">
        <v>9</v>
      </c>
      <c r="D5" s="11" t="s">
        <v>61</v>
      </c>
      <c r="E5" s="11" t="s">
        <v>5</v>
      </c>
      <c r="F5" s="11" t="s">
        <v>60</v>
      </c>
      <c r="G5" s="11" t="s">
        <v>60</v>
      </c>
      <c r="H5" s="67" t="s">
        <v>60</v>
      </c>
    </row>
    <row r="6" spans="3:8" ht="12.75">
      <c r="C6" s="2">
        <v>1</v>
      </c>
      <c r="D6" s="75">
        <v>0.0189</v>
      </c>
      <c r="E6" s="24">
        <f>EXP(-0.05*C6)</f>
        <v>0.951229424500714</v>
      </c>
      <c r="F6" s="77">
        <v>6.25</v>
      </c>
      <c r="G6" s="31">
        <f>F6/2*E6</f>
        <v>2.9725919515647314</v>
      </c>
      <c r="H6" s="68">
        <f>F6/2*(1-D6)*E6</f>
        <v>2.9164099636801577</v>
      </c>
    </row>
    <row r="7" spans="3:8" ht="12.75">
      <c r="C7" s="3">
        <v>2</v>
      </c>
      <c r="D7" s="76">
        <v>0.0432</v>
      </c>
      <c r="E7" s="22">
        <f>EXP(-0.05*C7)</f>
        <v>0.9048374180359595</v>
      </c>
      <c r="F7" s="78">
        <v>6.25</v>
      </c>
      <c r="G7" s="20">
        <f>F7/2*E7</f>
        <v>2.8276169313623734</v>
      </c>
      <c r="H7" s="69">
        <f>F7/2*(1-D7)*E7</f>
        <v>2.705463879927519</v>
      </c>
    </row>
    <row r="8" spans="3:8" ht="12.75">
      <c r="C8" s="3">
        <v>3</v>
      </c>
      <c r="D8" s="76">
        <v>0.0696</v>
      </c>
      <c r="E8" s="22">
        <f>EXP(-0.05*C8)</f>
        <v>0.8607079764250578</v>
      </c>
      <c r="F8" s="78">
        <v>6.25</v>
      </c>
      <c r="G8" s="20">
        <f>F8/2*E8</f>
        <v>2.6897124263283057</v>
      </c>
      <c r="H8" s="69">
        <f>F8/2*(1-D8)*E8</f>
        <v>2.5025084414558556</v>
      </c>
    </row>
    <row r="9" spans="3:8" ht="12.75">
      <c r="C9" s="3">
        <v>4</v>
      </c>
      <c r="D9" s="76">
        <v>0.0969</v>
      </c>
      <c r="E9" s="22">
        <f>EXP(-0.05*C9)</f>
        <v>0.8187307530779818</v>
      </c>
      <c r="F9" s="78">
        <v>6.25</v>
      </c>
      <c r="G9" s="20">
        <f>F9/2*E9</f>
        <v>2.5585336033686934</v>
      </c>
      <c r="H9" s="69">
        <f>F9/2*(1-D9)*E9</f>
        <v>2.310611697202267</v>
      </c>
    </row>
    <row r="10" spans="3:8" ht="12.75">
      <c r="C10" s="6">
        <v>5</v>
      </c>
      <c r="D10" s="62">
        <v>0.1247</v>
      </c>
      <c r="E10" s="70">
        <f>EXP(-0.05*C10)</f>
        <v>0.7788007830714049</v>
      </c>
      <c r="F10" s="79">
        <v>106.25</v>
      </c>
      <c r="G10" s="33">
        <f>F10/2*E10</f>
        <v>41.37379160066838</v>
      </c>
      <c r="H10" s="71">
        <f>F10/2*(1-D10)*E10</f>
        <v>36.214479788065034</v>
      </c>
    </row>
    <row r="11" spans="7:8" ht="12.75">
      <c r="G11" s="72">
        <f>SUM(G6:G10)</f>
        <v>52.42224651329249</v>
      </c>
      <c r="H11" s="72">
        <f>SUM(H6:H10)</f>
        <v>46.649473770330836</v>
      </c>
    </row>
    <row r="13" spans="7:8" ht="12.75">
      <c r="G13" s="10" t="s">
        <v>57</v>
      </c>
      <c r="H13" s="73">
        <f>G11+H11</f>
        <v>99.07172028362334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13"/>
  <sheetViews>
    <sheetView showGridLines="0" workbookViewId="0" topLeftCell="A1">
      <selection activeCell="E3" sqref="E3"/>
    </sheetView>
  </sheetViews>
  <sheetFormatPr defaultColWidth="9.33203125" defaultRowHeight="12.75"/>
  <cols>
    <col min="2" max="8" width="14.83203125" style="0" customWidth="1"/>
  </cols>
  <sheetData>
    <row r="3" spans="2:3" ht="12.75">
      <c r="B3" s="83" t="s">
        <v>70</v>
      </c>
      <c r="C3" s="84">
        <v>0.5</v>
      </c>
    </row>
    <row r="5" spans="3:8" ht="12.75">
      <c r="C5" s="80" t="s">
        <v>65</v>
      </c>
      <c r="D5" s="80" t="s">
        <v>66</v>
      </c>
      <c r="E5" s="80" t="s">
        <v>31</v>
      </c>
      <c r="F5" s="80" t="s">
        <v>31</v>
      </c>
      <c r="G5" s="80" t="s">
        <v>71</v>
      </c>
      <c r="H5" s="80" t="s">
        <v>72</v>
      </c>
    </row>
    <row r="6" spans="2:8" ht="12.75">
      <c r="B6" s="80" t="s">
        <v>14</v>
      </c>
      <c r="C6" s="80" t="s">
        <v>67</v>
      </c>
      <c r="D6" s="80" t="s">
        <v>67</v>
      </c>
      <c r="E6" s="80" t="s">
        <v>68</v>
      </c>
      <c r="F6" s="80" t="s">
        <v>69</v>
      </c>
      <c r="G6" s="80" t="s">
        <v>69</v>
      </c>
      <c r="H6" s="80" t="s">
        <v>69</v>
      </c>
    </row>
    <row r="7" spans="2:8" ht="12.75">
      <c r="B7">
        <v>1</v>
      </c>
      <c r="C7" s="81">
        <v>0.0552</v>
      </c>
      <c r="D7" s="81">
        <v>0.0576</v>
      </c>
      <c r="E7" s="81">
        <f>D7-C7</f>
        <v>0.0023999999999999994</v>
      </c>
      <c r="F7" s="81">
        <f aca="true" t="shared" si="0" ref="F7:F13">E7/$C$3</f>
        <v>0.004799999999999999</v>
      </c>
      <c r="G7" s="81">
        <f>F7</f>
        <v>0.004799999999999999</v>
      </c>
      <c r="H7" s="82">
        <f>G7</f>
        <v>0.004799999999999999</v>
      </c>
    </row>
    <row r="8" spans="2:8" ht="12.75">
      <c r="B8">
        <v>2</v>
      </c>
      <c r="C8" s="81">
        <v>0.063</v>
      </c>
      <c r="D8" s="81">
        <v>0.0674</v>
      </c>
      <c r="E8" s="81">
        <f aca="true" t="shared" si="1" ref="E8:E13">D8-C8</f>
        <v>0.004400000000000001</v>
      </c>
      <c r="F8" s="81">
        <f t="shared" si="0"/>
        <v>0.008800000000000002</v>
      </c>
      <c r="G8" s="81">
        <f aca="true" t="shared" si="2" ref="G8:G13">G7+(1-G7)*F8</f>
        <v>0.01355776</v>
      </c>
      <c r="H8" s="82">
        <f aca="true" t="shared" si="3" ref="H8:H13">G8-G7</f>
        <v>0.008757760000000002</v>
      </c>
    </row>
    <row r="9" spans="2:8" ht="12.75">
      <c r="B9">
        <v>3</v>
      </c>
      <c r="C9" s="81">
        <v>0.064</v>
      </c>
      <c r="D9" s="81">
        <v>0.0705</v>
      </c>
      <c r="E9" s="81">
        <f t="shared" si="1"/>
        <v>0.006499999999999992</v>
      </c>
      <c r="F9" s="81">
        <f t="shared" si="0"/>
        <v>0.012999999999999984</v>
      </c>
      <c r="G9" s="81">
        <f t="shared" si="2"/>
        <v>0.026381509119999987</v>
      </c>
      <c r="H9" s="82">
        <f t="shared" si="3"/>
        <v>0.012823749119999986</v>
      </c>
    </row>
    <row r="10" spans="2:8" ht="12.75">
      <c r="B10">
        <v>4</v>
      </c>
      <c r="C10" s="81">
        <v>0.06559999999999999</v>
      </c>
      <c r="D10" s="81">
        <v>0.0764</v>
      </c>
      <c r="E10" s="81">
        <f t="shared" si="1"/>
        <v>0.010800000000000004</v>
      </c>
      <c r="F10" s="81">
        <f t="shared" si="0"/>
        <v>0.021600000000000008</v>
      </c>
      <c r="G10" s="81">
        <f t="shared" si="2"/>
        <v>0.047411668523007995</v>
      </c>
      <c r="H10" s="82">
        <f t="shared" si="3"/>
        <v>0.02103015940300801</v>
      </c>
    </row>
    <row r="11" spans="2:8" ht="12.75">
      <c r="B11">
        <v>5</v>
      </c>
      <c r="C11" s="81">
        <v>0.06559999999999999</v>
      </c>
      <c r="D11" s="81">
        <v>0.0771</v>
      </c>
      <c r="E11" s="81">
        <f t="shared" si="1"/>
        <v>0.01150000000000001</v>
      </c>
      <c r="F11" s="81">
        <f t="shared" si="0"/>
        <v>0.02300000000000002</v>
      </c>
      <c r="G11" s="81">
        <f t="shared" si="2"/>
        <v>0.06932120014697883</v>
      </c>
      <c r="H11" s="82">
        <f t="shared" si="3"/>
        <v>0.021909531623970836</v>
      </c>
    </row>
    <row r="12" spans="2:8" ht="12.75">
      <c r="B12">
        <v>6</v>
      </c>
      <c r="C12" s="81">
        <v>0.0681</v>
      </c>
      <c r="D12" s="81">
        <v>0.0821</v>
      </c>
      <c r="E12" s="81">
        <f t="shared" si="1"/>
        <v>0.014000000000000012</v>
      </c>
      <c r="F12" s="81">
        <f t="shared" si="0"/>
        <v>0.028000000000000025</v>
      </c>
      <c r="G12" s="81">
        <f t="shared" si="2"/>
        <v>0.09538020654286344</v>
      </c>
      <c r="H12" s="82">
        <f t="shared" si="3"/>
        <v>0.026059006395884612</v>
      </c>
    </row>
    <row r="13" spans="2:8" ht="12.75">
      <c r="B13">
        <v>7</v>
      </c>
      <c r="C13" s="81">
        <v>0.0681</v>
      </c>
      <c r="D13" s="81">
        <v>0.08470000000000001</v>
      </c>
      <c r="E13" s="81">
        <f t="shared" si="1"/>
        <v>0.016600000000000018</v>
      </c>
      <c r="F13" s="81">
        <f t="shared" si="0"/>
        <v>0.033200000000000035</v>
      </c>
      <c r="G13" s="81">
        <f t="shared" si="2"/>
        <v>0.1254135836856404</v>
      </c>
      <c r="H13" s="82">
        <f t="shared" si="3"/>
        <v>0.030033377142776957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K14"/>
  <sheetViews>
    <sheetView showGridLines="0" workbookViewId="0" topLeftCell="A1">
      <selection activeCell="B2" sqref="B2"/>
    </sheetView>
  </sheetViews>
  <sheetFormatPr defaultColWidth="9.33203125" defaultRowHeight="12.75" outlineLevelCol="1"/>
  <cols>
    <col min="2" max="3" width="14.83203125" style="0" customWidth="1"/>
    <col min="4" max="7" width="14.83203125" style="0" hidden="1" customWidth="1" outlineLevel="1"/>
    <col min="8" max="8" width="14.83203125" style="0" customWidth="1" collapsed="1"/>
    <col min="9" max="11" width="14.83203125" style="0" customWidth="1"/>
  </cols>
  <sheetData>
    <row r="3" spans="2:3" ht="12.75">
      <c r="B3" s="83" t="s">
        <v>70</v>
      </c>
      <c r="C3" s="85">
        <v>0.5</v>
      </c>
    </row>
    <row r="5" spans="3:11" ht="12.75">
      <c r="C5" s="80" t="s">
        <v>65</v>
      </c>
      <c r="D5" s="80" t="s">
        <v>66</v>
      </c>
      <c r="E5" s="80" t="s">
        <v>31</v>
      </c>
      <c r="F5" s="80" t="s">
        <v>31</v>
      </c>
      <c r="G5" s="80" t="s">
        <v>71</v>
      </c>
      <c r="H5" s="80" t="s">
        <v>72</v>
      </c>
      <c r="I5" s="80" t="s">
        <v>73</v>
      </c>
      <c r="J5" s="80" t="s">
        <v>10</v>
      </c>
      <c r="K5" s="80" t="s">
        <v>74</v>
      </c>
    </row>
    <row r="6" spans="2:11" ht="12.75">
      <c r="B6" s="80" t="s">
        <v>14</v>
      </c>
      <c r="C6" s="80" t="s">
        <v>67</v>
      </c>
      <c r="D6" s="80" t="s">
        <v>67</v>
      </c>
      <c r="E6" s="80" t="s">
        <v>68</v>
      </c>
      <c r="F6" s="80" t="s">
        <v>69</v>
      </c>
      <c r="G6" s="80" t="s">
        <v>69</v>
      </c>
      <c r="H6" s="80" t="s">
        <v>69</v>
      </c>
      <c r="I6" s="80" t="s">
        <v>11</v>
      </c>
      <c r="J6" s="80" t="s">
        <v>13</v>
      </c>
      <c r="K6" s="80" t="s">
        <v>75</v>
      </c>
    </row>
    <row r="7" spans="2:11" ht="12.75">
      <c r="B7">
        <v>1</v>
      </c>
      <c r="C7" s="86">
        <v>0.0552</v>
      </c>
      <c r="D7" s="86">
        <v>0.0576</v>
      </c>
      <c r="E7" s="86">
        <f>D7-C7</f>
        <v>0.0023999999999999994</v>
      </c>
      <c r="F7" s="86">
        <f>E7/$C$3</f>
        <v>0.004799999999999999</v>
      </c>
      <c r="G7" s="86">
        <f>F7</f>
        <v>0.004799999999999999</v>
      </c>
      <c r="H7" s="82">
        <f>G7</f>
        <v>0.004799999999999999</v>
      </c>
      <c r="I7" s="82">
        <f>C7</f>
        <v>0.0552</v>
      </c>
      <c r="J7" s="82">
        <f>(1+I7)^-B7</f>
        <v>0.9476876421531464</v>
      </c>
      <c r="K7" s="82">
        <f>H7*$C$3*J7</f>
        <v>0.0022744503411675507</v>
      </c>
    </row>
    <row r="8" spans="2:11" ht="12.75">
      <c r="B8">
        <v>2</v>
      </c>
      <c r="C8" s="86">
        <v>0.063</v>
      </c>
      <c r="D8" s="86">
        <v>0.0674</v>
      </c>
      <c r="E8" s="86">
        <f>D8-C8</f>
        <v>0.004400000000000001</v>
      </c>
      <c r="F8" s="86">
        <f>E8/$C$3</f>
        <v>0.008800000000000002</v>
      </c>
      <c r="G8" s="86">
        <f>G7+(1-G7)*F8</f>
        <v>0.01355776</v>
      </c>
      <c r="H8" s="82">
        <f>G8-G7</f>
        <v>0.008757760000000002</v>
      </c>
      <c r="I8" s="81">
        <f>((1+C7)*(1+C8))^(1/B8)-1</f>
        <v>0.059092819350598624</v>
      </c>
      <c r="J8" s="82">
        <f>(1+I8)^-B8</f>
        <v>0.8915217706050297</v>
      </c>
      <c r="K8" s="82">
        <f>H8*$C$3*J8</f>
        <v>0.003903866850866953</v>
      </c>
    </row>
    <row r="9" spans="2:11" ht="12.75">
      <c r="B9">
        <v>3</v>
      </c>
      <c r="C9" s="86">
        <v>0.064</v>
      </c>
      <c r="D9" s="86">
        <v>0.0705</v>
      </c>
      <c r="E9" s="86">
        <f>D9-C9</f>
        <v>0.006499999999999992</v>
      </c>
      <c r="F9" s="86">
        <f>E9/$C$3</f>
        <v>0.012999999999999984</v>
      </c>
      <c r="G9" s="86">
        <f>G8+(1-G8)*F9</f>
        <v>0.026381509119999987</v>
      </c>
      <c r="H9" s="82">
        <f>G9-G8</f>
        <v>0.012823749119999986</v>
      </c>
      <c r="I9" s="81">
        <f>((1+C7)*(1+C8)*(1+C9))^(1/B9)-1</f>
        <v>0.06072602640136293</v>
      </c>
      <c r="J9" s="82">
        <f>(1+I9)^-B9</f>
        <v>0.8378964009445766</v>
      </c>
      <c r="K9" s="82">
        <f>H9*$C$3*J9</f>
        <v>0.005372486617132085</v>
      </c>
    </row>
    <row r="11" spans="10:11" ht="12.75">
      <c r="J11" s="10" t="s">
        <v>15</v>
      </c>
      <c r="K11" s="87">
        <f>SUM(K7:K9)</f>
        <v>0.01155080380916659</v>
      </c>
    </row>
    <row r="14" spans="10:11" ht="12.75">
      <c r="J14" s="80" t="s">
        <v>76</v>
      </c>
      <c r="K14" s="88">
        <f>K11/(J7+J8+J9)</f>
        <v>0.004314660911064427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4"/>
  <sheetViews>
    <sheetView workbookViewId="0" topLeftCell="A1">
      <selection activeCell="A19" sqref="A19"/>
    </sheetView>
  </sheetViews>
  <sheetFormatPr defaultColWidth="9.33203125" defaultRowHeight="12.75"/>
  <cols>
    <col min="1" max="1" width="10.66015625" style="90" customWidth="1"/>
    <col min="2" max="6" width="19.5" style="90" customWidth="1"/>
    <col min="7" max="16384" width="10.66015625" style="90" customWidth="1"/>
  </cols>
  <sheetData>
    <row r="1" ht="12.75">
      <c r="A1" s="89" t="s">
        <v>77</v>
      </c>
    </row>
    <row r="3" spans="2:3" ht="12.75">
      <c r="B3" s="90" t="s">
        <v>78</v>
      </c>
      <c r="C3" s="91">
        <v>100000</v>
      </c>
    </row>
    <row r="4" spans="2:3" ht="12.75">
      <c r="B4" s="90" t="s">
        <v>11</v>
      </c>
      <c r="C4" s="92">
        <v>0.055</v>
      </c>
    </row>
    <row r="5" spans="2:3" ht="12.75">
      <c r="B5" s="90" t="s">
        <v>64</v>
      </c>
      <c r="C5" s="90">
        <v>30</v>
      </c>
    </row>
    <row r="7" spans="2:3" ht="12.75">
      <c r="B7" s="90" t="s">
        <v>79</v>
      </c>
      <c r="C7" s="92">
        <f>C4/12</f>
        <v>0.004583333333333333</v>
      </c>
    </row>
    <row r="8" spans="2:3" ht="12.75">
      <c r="B8" s="90" t="s">
        <v>80</v>
      </c>
      <c r="C8" s="90">
        <f>12*C5</f>
        <v>360</v>
      </c>
    </row>
    <row r="10" spans="2:3" ht="12.75">
      <c r="B10" s="90" t="s">
        <v>81</v>
      </c>
      <c r="C10" s="93">
        <f>C3/((1-(1+C7)^-C8)/C7)</f>
        <v>567.7890013470025</v>
      </c>
    </row>
    <row r="13" spans="2:6" ht="12.75">
      <c r="B13" s="94" t="s">
        <v>63</v>
      </c>
      <c r="C13" s="94" t="s">
        <v>12</v>
      </c>
      <c r="D13" s="94" t="s">
        <v>82</v>
      </c>
      <c r="E13" s="94" t="s">
        <v>83</v>
      </c>
      <c r="F13" s="94" t="s">
        <v>78</v>
      </c>
    </row>
    <row r="14" spans="2:6" ht="12.75">
      <c r="B14" s="90">
        <v>0</v>
      </c>
      <c r="F14" s="95">
        <f>C3</f>
        <v>100000</v>
      </c>
    </row>
    <row r="15" spans="2:6" ht="12.75">
      <c r="B15" s="90">
        <f aca="true" t="shared" si="0" ref="B15:B78">1+B14</f>
        <v>1</v>
      </c>
      <c r="C15" s="93">
        <f aca="true" t="shared" si="1" ref="C15:C78">$C$10</f>
        <v>567.7890013470025</v>
      </c>
      <c r="D15" s="95">
        <f aca="true" t="shared" si="2" ref="D15:D78">F14*$C$7</f>
        <v>458.3333333333333</v>
      </c>
      <c r="E15" s="95">
        <f aca="true" t="shared" si="3" ref="E15:E78">C15-D15</f>
        <v>109.45566801366914</v>
      </c>
      <c r="F15" s="95">
        <f aca="true" t="shared" si="4" ref="F15:F78">F14-E15</f>
        <v>99890.54433198633</v>
      </c>
    </row>
    <row r="16" spans="2:6" ht="12.75">
      <c r="B16" s="90">
        <f t="shared" si="0"/>
        <v>2</v>
      </c>
      <c r="C16" s="93">
        <f t="shared" si="1"/>
        <v>567.7890013470025</v>
      </c>
      <c r="D16" s="95">
        <f t="shared" si="2"/>
        <v>457.831661521604</v>
      </c>
      <c r="E16" s="95">
        <f t="shared" si="3"/>
        <v>109.95733982539844</v>
      </c>
      <c r="F16" s="95">
        <f t="shared" si="4"/>
        <v>99780.58699216093</v>
      </c>
    </row>
    <row r="17" spans="2:6" ht="12.75">
      <c r="B17" s="90">
        <f t="shared" si="0"/>
        <v>3</v>
      </c>
      <c r="C17" s="93">
        <f t="shared" si="1"/>
        <v>567.7890013470025</v>
      </c>
      <c r="D17" s="95">
        <f t="shared" si="2"/>
        <v>457.3276903807376</v>
      </c>
      <c r="E17" s="95">
        <f t="shared" si="3"/>
        <v>110.46131096626488</v>
      </c>
      <c r="F17" s="95">
        <f t="shared" si="4"/>
        <v>99670.12568119467</v>
      </c>
    </row>
    <row r="18" spans="2:6" ht="12.75">
      <c r="B18" s="90">
        <f t="shared" si="0"/>
        <v>4</v>
      </c>
      <c r="C18" s="93">
        <f t="shared" si="1"/>
        <v>567.7890013470025</v>
      </c>
      <c r="D18" s="95">
        <f t="shared" si="2"/>
        <v>456.8214093721422</v>
      </c>
      <c r="E18" s="95">
        <f t="shared" si="3"/>
        <v>110.96759197486023</v>
      </c>
      <c r="F18" s="95">
        <f t="shared" si="4"/>
        <v>99559.15808921981</v>
      </c>
    </row>
    <row r="19" spans="2:6" ht="12.75">
      <c r="B19" s="90">
        <f t="shared" si="0"/>
        <v>5</v>
      </c>
      <c r="C19" s="93">
        <f t="shared" si="1"/>
        <v>567.7890013470025</v>
      </c>
      <c r="D19" s="95">
        <f t="shared" si="2"/>
        <v>456.3128079089241</v>
      </c>
      <c r="E19" s="95">
        <f t="shared" si="3"/>
        <v>111.47619343807833</v>
      </c>
      <c r="F19" s="95">
        <f t="shared" si="4"/>
        <v>99447.68189578173</v>
      </c>
    </row>
    <row r="20" spans="2:6" ht="12.75">
      <c r="B20" s="90">
        <f t="shared" si="0"/>
        <v>6</v>
      </c>
      <c r="C20" s="93">
        <f t="shared" si="1"/>
        <v>567.7890013470025</v>
      </c>
      <c r="D20" s="95">
        <f t="shared" si="2"/>
        <v>455.80187535566625</v>
      </c>
      <c r="E20" s="95">
        <f t="shared" si="3"/>
        <v>111.9871259913362</v>
      </c>
      <c r="F20" s="95">
        <f t="shared" si="4"/>
        <v>99335.6947697904</v>
      </c>
    </row>
    <row r="21" spans="2:6" ht="12.75">
      <c r="B21" s="90">
        <f t="shared" si="0"/>
        <v>7</v>
      </c>
      <c r="C21" s="93">
        <f t="shared" si="1"/>
        <v>567.7890013470025</v>
      </c>
      <c r="D21" s="95">
        <f t="shared" si="2"/>
        <v>455.28860102820596</v>
      </c>
      <c r="E21" s="95">
        <f t="shared" si="3"/>
        <v>112.5004003187965</v>
      </c>
      <c r="F21" s="95">
        <f t="shared" si="4"/>
        <v>99223.1943694716</v>
      </c>
    </row>
    <row r="22" spans="2:6" ht="12.75">
      <c r="B22" s="90">
        <f t="shared" si="0"/>
        <v>8</v>
      </c>
      <c r="C22" s="93">
        <f t="shared" si="1"/>
        <v>567.7890013470025</v>
      </c>
      <c r="D22" s="95">
        <f t="shared" si="2"/>
        <v>454.7729741934115</v>
      </c>
      <c r="E22" s="95">
        <f t="shared" si="3"/>
        <v>113.01602715359093</v>
      </c>
      <c r="F22" s="95">
        <f t="shared" si="4"/>
        <v>99110.17834231802</v>
      </c>
    </row>
    <row r="23" spans="2:6" ht="12.75">
      <c r="B23" s="90">
        <f t="shared" si="0"/>
        <v>9</v>
      </c>
      <c r="C23" s="93">
        <f t="shared" si="1"/>
        <v>567.7890013470025</v>
      </c>
      <c r="D23" s="95">
        <f t="shared" si="2"/>
        <v>454.2549840689576</v>
      </c>
      <c r="E23" s="95">
        <f t="shared" si="3"/>
        <v>113.53401727804487</v>
      </c>
      <c r="F23" s="95">
        <f t="shared" si="4"/>
        <v>98996.64432503998</v>
      </c>
    </row>
    <row r="24" spans="2:6" ht="12.75">
      <c r="B24" s="90">
        <f t="shared" si="0"/>
        <v>10</v>
      </c>
      <c r="C24" s="93">
        <f t="shared" si="1"/>
        <v>567.7890013470025</v>
      </c>
      <c r="D24" s="95">
        <f t="shared" si="2"/>
        <v>453.7346198230999</v>
      </c>
      <c r="E24" s="95">
        <f t="shared" si="3"/>
        <v>114.05438152390258</v>
      </c>
      <c r="F24" s="95">
        <f t="shared" si="4"/>
        <v>98882.58994351607</v>
      </c>
    </row>
    <row r="25" spans="2:6" ht="12.75">
      <c r="B25" s="90">
        <f t="shared" si="0"/>
        <v>11</v>
      </c>
      <c r="C25" s="93">
        <f t="shared" si="1"/>
        <v>567.7890013470025</v>
      </c>
      <c r="D25" s="95">
        <f t="shared" si="2"/>
        <v>453.21187057444865</v>
      </c>
      <c r="E25" s="95">
        <f t="shared" si="3"/>
        <v>114.5771307725538</v>
      </c>
      <c r="F25" s="95">
        <f t="shared" si="4"/>
        <v>98768.01281274352</v>
      </c>
    </row>
    <row r="26" spans="2:6" ht="12.75">
      <c r="B26" s="90">
        <f t="shared" si="0"/>
        <v>12</v>
      </c>
      <c r="C26" s="93">
        <f t="shared" si="1"/>
        <v>567.7890013470025</v>
      </c>
      <c r="D26" s="95">
        <f t="shared" si="2"/>
        <v>452.6867253917411</v>
      </c>
      <c r="E26" s="95">
        <f t="shared" si="3"/>
        <v>115.10227595526135</v>
      </c>
      <c r="F26" s="95">
        <f t="shared" si="4"/>
        <v>98652.91053678826</v>
      </c>
    </row>
    <row r="27" spans="2:6" ht="12.75">
      <c r="B27" s="90">
        <f t="shared" si="0"/>
        <v>13</v>
      </c>
      <c r="C27" s="93">
        <f t="shared" si="1"/>
        <v>567.7890013470025</v>
      </c>
      <c r="D27" s="95">
        <f t="shared" si="2"/>
        <v>452.15917329361287</v>
      </c>
      <c r="E27" s="95">
        <f t="shared" si="3"/>
        <v>115.62982805338959</v>
      </c>
      <c r="F27" s="95">
        <f t="shared" si="4"/>
        <v>98537.28070873486</v>
      </c>
    </row>
    <row r="28" spans="2:6" ht="12.75">
      <c r="B28" s="90">
        <f t="shared" si="0"/>
        <v>14</v>
      </c>
      <c r="C28" s="93">
        <f t="shared" si="1"/>
        <v>567.7890013470025</v>
      </c>
      <c r="D28" s="95">
        <f t="shared" si="2"/>
        <v>451.6292032483681</v>
      </c>
      <c r="E28" s="95">
        <f t="shared" si="3"/>
        <v>116.15979809863433</v>
      </c>
      <c r="F28" s="95">
        <f t="shared" si="4"/>
        <v>98421.12091063622</v>
      </c>
    </row>
    <row r="29" spans="2:6" ht="12.75">
      <c r="B29" s="90">
        <f t="shared" si="0"/>
        <v>15</v>
      </c>
      <c r="C29" s="93">
        <f t="shared" si="1"/>
        <v>567.7890013470025</v>
      </c>
      <c r="D29" s="95">
        <f t="shared" si="2"/>
        <v>451.0968041737494</v>
      </c>
      <c r="E29" s="95">
        <f t="shared" si="3"/>
        <v>116.69219717325308</v>
      </c>
      <c r="F29" s="95">
        <f t="shared" si="4"/>
        <v>98304.42871346297</v>
      </c>
    </row>
    <row r="30" spans="2:6" ht="12.75">
      <c r="B30" s="90">
        <f t="shared" si="0"/>
        <v>16</v>
      </c>
      <c r="C30" s="93">
        <f t="shared" si="1"/>
        <v>567.7890013470025</v>
      </c>
      <c r="D30" s="95">
        <f t="shared" si="2"/>
        <v>450.5619649367053</v>
      </c>
      <c r="E30" s="95">
        <f t="shared" si="3"/>
        <v>117.22703641029716</v>
      </c>
      <c r="F30" s="95">
        <f t="shared" si="4"/>
        <v>98187.20167705267</v>
      </c>
    </row>
    <row r="31" spans="2:6" ht="12.75">
      <c r="B31" s="90">
        <f t="shared" si="0"/>
        <v>17</v>
      </c>
      <c r="C31" s="93">
        <f t="shared" si="1"/>
        <v>567.7890013470025</v>
      </c>
      <c r="D31" s="95">
        <f t="shared" si="2"/>
        <v>450.02467435315805</v>
      </c>
      <c r="E31" s="95">
        <f t="shared" si="3"/>
        <v>117.7643269938444</v>
      </c>
      <c r="F31" s="95">
        <f t="shared" si="4"/>
        <v>98069.43735005883</v>
      </c>
    </row>
    <row r="32" spans="2:6" ht="12.75">
      <c r="B32" s="90">
        <f t="shared" si="0"/>
        <v>18</v>
      </c>
      <c r="C32" s="93">
        <f t="shared" si="1"/>
        <v>567.7890013470025</v>
      </c>
      <c r="D32" s="95">
        <f t="shared" si="2"/>
        <v>449.4849211877696</v>
      </c>
      <c r="E32" s="95">
        <f t="shared" si="3"/>
        <v>118.30408015923285</v>
      </c>
      <c r="F32" s="95">
        <f t="shared" si="4"/>
        <v>97951.1332698996</v>
      </c>
    </row>
    <row r="33" spans="2:6" ht="12.75">
      <c r="B33" s="90">
        <f t="shared" si="0"/>
        <v>19</v>
      </c>
      <c r="C33" s="93">
        <f t="shared" si="1"/>
        <v>567.7890013470025</v>
      </c>
      <c r="D33" s="95">
        <f t="shared" si="2"/>
        <v>448.9426941537065</v>
      </c>
      <c r="E33" s="95">
        <f t="shared" si="3"/>
        <v>118.84630719329596</v>
      </c>
      <c r="F33" s="95">
        <f t="shared" si="4"/>
        <v>97832.2869627063</v>
      </c>
    </row>
    <row r="34" spans="2:6" ht="12.75">
      <c r="B34" s="90">
        <f t="shared" si="0"/>
        <v>20</v>
      </c>
      <c r="C34" s="93">
        <f t="shared" si="1"/>
        <v>567.7890013470025</v>
      </c>
      <c r="D34" s="95">
        <f t="shared" si="2"/>
        <v>448.3979819124039</v>
      </c>
      <c r="E34" s="95">
        <f t="shared" si="3"/>
        <v>119.39101943459855</v>
      </c>
      <c r="F34" s="95">
        <f t="shared" si="4"/>
        <v>97712.89594327171</v>
      </c>
    </row>
    <row r="35" spans="2:6" ht="12.75">
      <c r="B35" s="90">
        <f t="shared" si="0"/>
        <v>21</v>
      </c>
      <c r="C35" s="93">
        <f t="shared" si="1"/>
        <v>567.7890013470025</v>
      </c>
      <c r="D35" s="95">
        <f t="shared" si="2"/>
        <v>447.8507730733287</v>
      </c>
      <c r="E35" s="95">
        <f t="shared" si="3"/>
        <v>119.93822827367376</v>
      </c>
      <c r="F35" s="95">
        <f t="shared" si="4"/>
        <v>97592.95771499803</v>
      </c>
    </row>
    <row r="36" spans="2:6" ht="12.75">
      <c r="B36" s="90">
        <f t="shared" si="0"/>
        <v>22</v>
      </c>
      <c r="C36" s="93">
        <f t="shared" si="1"/>
        <v>567.7890013470025</v>
      </c>
      <c r="D36" s="95">
        <f t="shared" si="2"/>
        <v>447.301056193741</v>
      </c>
      <c r="E36" s="95">
        <f t="shared" si="3"/>
        <v>120.48794515326148</v>
      </c>
      <c r="F36" s="95">
        <f t="shared" si="4"/>
        <v>97472.46976984477</v>
      </c>
    </row>
    <row r="37" spans="2:6" ht="12.75">
      <c r="B37" s="90">
        <f t="shared" si="0"/>
        <v>23</v>
      </c>
      <c r="C37" s="93">
        <f t="shared" si="1"/>
        <v>567.7890013470025</v>
      </c>
      <c r="D37" s="95">
        <f t="shared" si="2"/>
        <v>446.7488197784552</v>
      </c>
      <c r="E37" s="95">
        <f t="shared" si="3"/>
        <v>121.04018156854727</v>
      </c>
      <c r="F37" s="95">
        <f t="shared" si="4"/>
        <v>97351.42958827622</v>
      </c>
    </row>
    <row r="38" spans="2:6" ht="12.75">
      <c r="B38" s="90">
        <f t="shared" si="0"/>
        <v>24</v>
      </c>
      <c r="C38" s="93">
        <f t="shared" si="1"/>
        <v>567.7890013470025</v>
      </c>
      <c r="D38" s="95">
        <f t="shared" si="2"/>
        <v>446.19405227959936</v>
      </c>
      <c r="E38" s="95">
        <f t="shared" si="3"/>
        <v>121.59494906740309</v>
      </c>
      <c r="F38" s="95">
        <f t="shared" si="4"/>
        <v>97229.83463920881</v>
      </c>
    </row>
    <row r="39" spans="2:6" ht="12.75">
      <c r="B39" s="90">
        <f t="shared" si="0"/>
        <v>25</v>
      </c>
      <c r="C39" s="93">
        <f t="shared" si="1"/>
        <v>567.7890013470025</v>
      </c>
      <c r="D39" s="95">
        <f t="shared" si="2"/>
        <v>445.6367420963737</v>
      </c>
      <c r="E39" s="95">
        <f t="shared" si="3"/>
        <v>122.15225925062873</v>
      </c>
      <c r="F39" s="95">
        <f t="shared" si="4"/>
        <v>97107.68237995819</v>
      </c>
    </row>
    <row r="40" spans="2:6" ht="12.75">
      <c r="B40" s="90">
        <f t="shared" si="0"/>
        <v>26</v>
      </c>
      <c r="C40" s="93">
        <f t="shared" si="1"/>
        <v>567.7890013470025</v>
      </c>
      <c r="D40" s="95">
        <f t="shared" si="2"/>
        <v>445.07687757480835</v>
      </c>
      <c r="E40" s="95">
        <f t="shared" si="3"/>
        <v>122.7121237721941</v>
      </c>
      <c r="F40" s="95">
        <f t="shared" si="4"/>
        <v>96984.970256186</v>
      </c>
    </row>
    <row r="41" spans="2:6" ht="12.75">
      <c r="B41" s="90">
        <f t="shared" si="0"/>
        <v>27</v>
      </c>
      <c r="C41" s="93">
        <f t="shared" si="1"/>
        <v>567.7890013470025</v>
      </c>
      <c r="D41" s="95">
        <f t="shared" si="2"/>
        <v>444.5144470075192</v>
      </c>
      <c r="E41" s="95">
        <f t="shared" si="3"/>
        <v>123.27455433948325</v>
      </c>
      <c r="F41" s="95">
        <f t="shared" si="4"/>
        <v>96861.69570184652</v>
      </c>
    </row>
    <row r="42" spans="2:6" ht="12.75">
      <c r="B42" s="90">
        <f t="shared" si="0"/>
        <v>28</v>
      </c>
      <c r="C42" s="93">
        <f t="shared" si="1"/>
        <v>567.7890013470025</v>
      </c>
      <c r="D42" s="95">
        <f t="shared" si="2"/>
        <v>443.9494386334632</v>
      </c>
      <c r="E42" s="95">
        <f t="shared" si="3"/>
        <v>123.83956271353924</v>
      </c>
      <c r="F42" s="95">
        <f t="shared" si="4"/>
        <v>96737.85613913299</v>
      </c>
    </row>
    <row r="43" spans="2:6" ht="12.75">
      <c r="B43" s="90">
        <f t="shared" si="0"/>
        <v>29</v>
      </c>
      <c r="C43" s="93">
        <f t="shared" si="1"/>
        <v>567.7890013470025</v>
      </c>
      <c r="D43" s="95">
        <f t="shared" si="2"/>
        <v>443.38184063769285</v>
      </c>
      <c r="E43" s="95">
        <f t="shared" si="3"/>
        <v>124.40716070930961</v>
      </c>
      <c r="F43" s="95">
        <f t="shared" si="4"/>
        <v>96613.44897842368</v>
      </c>
    </row>
    <row r="44" spans="2:6" ht="12.75">
      <c r="B44" s="90">
        <f t="shared" si="0"/>
        <v>30</v>
      </c>
      <c r="C44" s="93">
        <f t="shared" si="1"/>
        <v>567.7890013470025</v>
      </c>
      <c r="D44" s="95">
        <f t="shared" si="2"/>
        <v>442.8116411511085</v>
      </c>
      <c r="E44" s="95">
        <f t="shared" si="3"/>
        <v>124.97736019589394</v>
      </c>
      <c r="F44" s="95">
        <f t="shared" si="4"/>
        <v>96488.47161822779</v>
      </c>
    </row>
    <row r="45" spans="2:6" ht="12.75">
      <c r="B45" s="90">
        <f t="shared" si="0"/>
        <v>31</v>
      </c>
      <c r="C45" s="93">
        <f t="shared" si="1"/>
        <v>567.7890013470025</v>
      </c>
      <c r="D45" s="95">
        <f t="shared" si="2"/>
        <v>442.2388282502107</v>
      </c>
      <c r="E45" s="95">
        <f t="shared" si="3"/>
        <v>125.55017309679175</v>
      </c>
      <c r="F45" s="95">
        <f t="shared" si="4"/>
        <v>96362.921445131</v>
      </c>
    </row>
    <row r="46" spans="2:6" ht="12.75">
      <c r="B46" s="90">
        <f t="shared" si="0"/>
        <v>32</v>
      </c>
      <c r="C46" s="93">
        <f t="shared" si="1"/>
        <v>567.7890013470025</v>
      </c>
      <c r="D46" s="95">
        <f t="shared" si="2"/>
        <v>441.6633899568504</v>
      </c>
      <c r="E46" s="95">
        <f t="shared" si="3"/>
        <v>126.12561139015207</v>
      </c>
      <c r="F46" s="95">
        <f t="shared" si="4"/>
        <v>96236.79583374085</v>
      </c>
    </row>
    <row r="47" spans="2:6" ht="12.75">
      <c r="B47" s="90">
        <f t="shared" si="0"/>
        <v>33</v>
      </c>
      <c r="C47" s="93">
        <f t="shared" si="1"/>
        <v>567.7890013470025</v>
      </c>
      <c r="D47" s="95">
        <f t="shared" si="2"/>
        <v>441.0853142379789</v>
      </c>
      <c r="E47" s="95">
        <f t="shared" si="3"/>
        <v>126.70368710902358</v>
      </c>
      <c r="F47" s="95">
        <f t="shared" si="4"/>
        <v>96110.09214663183</v>
      </c>
    </row>
    <row r="48" spans="2:6" ht="12.75">
      <c r="B48" s="90">
        <f t="shared" si="0"/>
        <v>34</v>
      </c>
      <c r="C48" s="93">
        <f t="shared" si="1"/>
        <v>567.7890013470025</v>
      </c>
      <c r="D48" s="95">
        <f t="shared" si="2"/>
        <v>440.50458900539587</v>
      </c>
      <c r="E48" s="95">
        <f t="shared" si="3"/>
        <v>127.28441234160658</v>
      </c>
      <c r="F48" s="95">
        <f t="shared" si="4"/>
        <v>95982.80773429023</v>
      </c>
    </row>
    <row r="49" spans="2:6" ht="12.75">
      <c r="B49" s="90">
        <f t="shared" si="0"/>
        <v>35</v>
      </c>
      <c r="C49" s="93">
        <f t="shared" si="1"/>
        <v>567.7890013470025</v>
      </c>
      <c r="D49" s="95">
        <f t="shared" si="2"/>
        <v>439.92120211549684</v>
      </c>
      <c r="E49" s="95">
        <f t="shared" si="3"/>
        <v>127.86779923150561</v>
      </c>
      <c r="F49" s="95">
        <f t="shared" si="4"/>
        <v>95854.93993505872</v>
      </c>
    </row>
    <row r="50" spans="2:6" ht="12.75">
      <c r="B50" s="90">
        <f t="shared" si="0"/>
        <v>36</v>
      </c>
      <c r="C50" s="93">
        <f t="shared" si="1"/>
        <v>567.7890013470025</v>
      </c>
      <c r="D50" s="95">
        <f t="shared" si="2"/>
        <v>439.33514136901914</v>
      </c>
      <c r="E50" s="95">
        <f t="shared" si="3"/>
        <v>128.4538599779833</v>
      </c>
      <c r="F50" s="95">
        <f t="shared" si="4"/>
        <v>95726.48607508074</v>
      </c>
    </row>
    <row r="51" spans="2:6" ht="12.75">
      <c r="B51" s="90">
        <f t="shared" si="0"/>
        <v>37</v>
      </c>
      <c r="C51" s="93">
        <f t="shared" si="1"/>
        <v>567.7890013470025</v>
      </c>
      <c r="D51" s="95">
        <f t="shared" si="2"/>
        <v>438.74639451078673</v>
      </c>
      <c r="E51" s="95">
        <f t="shared" si="3"/>
        <v>129.04260683621573</v>
      </c>
      <c r="F51" s="95">
        <f t="shared" si="4"/>
        <v>95597.44346824453</v>
      </c>
    </row>
    <row r="52" spans="2:6" ht="12.75">
      <c r="B52" s="90">
        <f t="shared" si="0"/>
        <v>38</v>
      </c>
      <c r="C52" s="93">
        <f t="shared" si="1"/>
        <v>567.7890013470025</v>
      </c>
      <c r="D52" s="95">
        <f t="shared" si="2"/>
        <v>438.1549492294541</v>
      </c>
      <c r="E52" s="95">
        <f t="shared" si="3"/>
        <v>129.63405211754838</v>
      </c>
      <c r="F52" s="95">
        <f t="shared" si="4"/>
        <v>95467.80941612698</v>
      </c>
    </row>
    <row r="53" spans="2:6" ht="12.75">
      <c r="B53" s="90">
        <f t="shared" si="0"/>
        <v>39</v>
      </c>
      <c r="C53" s="93">
        <f t="shared" si="1"/>
        <v>567.7890013470025</v>
      </c>
      <c r="D53" s="95">
        <f t="shared" si="2"/>
        <v>437.56079315724867</v>
      </c>
      <c r="E53" s="95">
        <f t="shared" si="3"/>
        <v>130.2282081897538</v>
      </c>
      <c r="F53" s="95">
        <f t="shared" si="4"/>
        <v>95337.58120793723</v>
      </c>
    </row>
    <row r="54" spans="2:6" ht="12.75">
      <c r="B54" s="90">
        <f t="shared" si="0"/>
        <v>40</v>
      </c>
      <c r="C54" s="93">
        <f t="shared" si="1"/>
        <v>567.7890013470025</v>
      </c>
      <c r="D54" s="95">
        <f t="shared" si="2"/>
        <v>436.9639138697123</v>
      </c>
      <c r="E54" s="95">
        <f t="shared" si="3"/>
        <v>130.82508747729014</v>
      </c>
      <c r="F54" s="95">
        <f t="shared" si="4"/>
        <v>95206.75612045993</v>
      </c>
    </row>
    <row r="55" spans="2:6" ht="12.75">
      <c r="B55" s="90">
        <f t="shared" si="0"/>
        <v>41</v>
      </c>
      <c r="C55" s="93">
        <f t="shared" si="1"/>
        <v>567.7890013470025</v>
      </c>
      <c r="D55" s="95">
        <f t="shared" si="2"/>
        <v>436.36429888544137</v>
      </c>
      <c r="E55" s="95">
        <f t="shared" si="3"/>
        <v>131.42470246156108</v>
      </c>
      <c r="F55" s="95">
        <f t="shared" si="4"/>
        <v>95075.33141799837</v>
      </c>
    </row>
    <row r="56" spans="2:6" ht="12.75">
      <c r="B56" s="90">
        <f t="shared" si="0"/>
        <v>42</v>
      </c>
      <c r="C56" s="93">
        <f t="shared" si="1"/>
        <v>567.7890013470025</v>
      </c>
      <c r="D56" s="95">
        <f t="shared" si="2"/>
        <v>435.7619356658259</v>
      </c>
      <c r="E56" s="95">
        <f t="shared" si="3"/>
        <v>132.02706568117657</v>
      </c>
      <c r="F56" s="95">
        <f t="shared" si="4"/>
        <v>94943.3043523172</v>
      </c>
    </row>
    <row r="57" spans="2:6" ht="12.75">
      <c r="B57" s="90">
        <f t="shared" si="0"/>
        <v>43</v>
      </c>
      <c r="C57" s="93">
        <f t="shared" si="1"/>
        <v>567.7890013470025</v>
      </c>
      <c r="D57" s="95">
        <f t="shared" si="2"/>
        <v>435.15681161478716</v>
      </c>
      <c r="E57" s="95">
        <f t="shared" si="3"/>
        <v>132.6321897322153</v>
      </c>
      <c r="F57" s="95">
        <f t="shared" si="4"/>
        <v>94810.67216258498</v>
      </c>
    </row>
    <row r="58" spans="2:6" ht="12.75">
      <c r="B58" s="90">
        <f t="shared" si="0"/>
        <v>44</v>
      </c>
      <c r="C58" s="93">
        <f t="shared" si="1"/>
        <v>567.7890013470025</v>
      </c>
      <c r="D58" s="95">
        <f t="shared" si="2"/>
        <v>434.5489140785145</v>
      </c>
      <c r="E58" s="95">
        <f t="shared" si="3"/>
        <v>133.24008726848797</v>
      </c>
      <c r="F58" s="95">
        <f t="shared" si="4"/>
        <v>94677.4320753165</v>
      </c>
    </row>
    <row r="59" spans="2:6" ht="12.75">
      <c r="B59" s="90">
        <f t="shared" si="0"/>
        <v>45</v>
      </c>
      <c r="C59" s="93">
        <f t="shared" si="1"/>
        <v>567.7890013470025</v>
      </c>
      <c r="D59" s="95">
        <f t="shared" si="2"/>
        <v>433.9382303452006</v>
      </c>
      <c r="E59" s="95">
        <f t="shared" si="3"/>
        <v>133.85077100180183</v>
      </c>
      <c r="F59" s="95">
        <f t="shared" si="4"/>
        <v>94543.58130431469</v>
      </c>
    </row>
    <row r="60" spans="2:6" ht="12.75">
      <c r="B60" s="90">
        <f t="shared" si="0"/>
        <v>46</v>
      </c>
      <c r="C60" s="93">
        <f t="shared" si="1"/>
        <v>567.7890013470025</v>
      </c>
      <c r="D60" s="95">
        <f t="shared" si="2"/>
        <v>433.3247476447757</v>
      </c>
      <c r="E60" s="95">
        <f t="shared" si="3"/>
        <v>134.46425370222676</v>
      </c>
      <c r="F60" s="95">
        <f t="shared" si="4"/>
        <v>94409.11705061246</v>
      </c>
    </row>
    <row r="61" spans="2:6" ht="12.75">
      <c r="B61" s="90">
        <f t="shared" si="0"/>
        <v>47</v>
      </c>
      <c r="C61" s="93">
        <f t="shared" si="1"/>
        <v>567.7890013470025</v>
      </c>
      <c r="D61" s="95">
        <f t="shared" si="2"/>
        <v>432.70845314864044</v>
      </c>
      <c r="E61" s="95">
        <f t="shared" si="3"/>
        <v>135.080548198362</v>
      </c>
      <c r="F61" s="95">
        <f t="shared" si="4"/>
        <v>94274.0365024141</v>
      </c>
    </row>
    <row r="62" spans="2:6" ht="12.75">
      <c r="B62" s="90">
        <f t="shared" si="0"/>
        <v>48</v>
      </c>
      <c r="C62" s="93">
        <f t="shared" si="1"/>
        <v>567.7890013470025</v>
      </c>
      <c r="D62" s="95">
        <f t="shared" si="2"/>
        <v>432.089333969398</v>
      </c>
      <c r="E62" s="95">
        <f t="shared" si="3"/>
        <v>135.69966737760444</v>
      </c>
      <c r="F62" s="95">
        <f t="shared" si="4"/>
        <v>94138.3368350365</v>
      </c>
    </row>
    <row r="63" spans="2:6" ht="12.75">
      <c r="B63" s="90">
        <f t="shared" si="0"/>
        <v>49</v>
      </c>
      <c r="C63" s="93">
        <f t="shared" si="1"/>
        <v>567.7890013470025</v>
      </c>
      <c r="D63" s="95">
        <f t="shared" si="2"/>
        <v>431.46737716058396</v>
      </c>
      <c r="E63" s="95">
        <f t="shared" si="3"/>
        <v>136.3216241864185</v>
      </c>
      <c r="F63" s="95">
        <f t="shared" si="4"/>
        <v>94002.01521085009</v>
      </c>
    </row>
    <row r="64" spans="2:6" ht="12.75">
      <c r="B64" s="90">
        <f t="shared" si="0"/>
        <v>50</v>
      </c>
      <c r="C64" s="93">
        <f t="shared" si="1"/>
        <v>567.7890013470025</v>
      </c>
      <c r="D64" s="95">
        <f t="shared" si="2"/>
        <v>430.84256971639627</v>
      </c>
      <c r="E64" s="95">
        <f t="shared" si="3"/>
        <v>136.94643163060618</v>
      </c>
      <c r="F64" s="95">
        <f t="shared" si="4"/>
        <v>93865.06877921948</v>
      </c>
    </row>
    <row r="65" spans="2:6" ht="12.75">
      <c r="B65" s="90">
        <f t="shared" si="0"/>
        <v>51</v>
      </c>
      <c r="C65" s="93">
        <f t="shared" si="1"/>
        <v>567.7890013470025</v>
      </c>
      <c r="D65" s="95">
        <f t="shared" si="2"/>
        <v>430.2148985714226</v>
      </c>
      <c r="E65" s="95">
        <f t="shared" si="3"/>
        <v>137.57410277557983</v>
      </c>
      <c r="F65" s="95">
        <f t="shared" si="4"/>
        <v>93727.4946764439</v>
      </c>
    </row>
    <row r="66" spans="2:6" ht="12.75">
      <c r="B66" s="90">
        <f t="shared" si="0"/>
        <v>52</v>
      </c>
      <c r="C66" s="93">
        <f t="shared" si="1"/>
        <v>567.7890013470025</v>
      </c>
      <c r="D66" s="95">
        <f t="shared" si="2"/>
        <v>429.5843506003678</v>
      </c>
      <c r="E66" s="95">
        <f t="shared" si="3"/>
        <v>138.20465074663463</v>
      </c>
      <c r="F66" s="95">
        <f t="shared" si="4"/>
        <v>93589.29002569726</v>
      </c>
    </row>
    <row r="67" spans="2:6" ht="12.75">
      <c r="B67" s="90">
        <f t="shared" si="0"/>
        <v>53</v>
      </c>
      <c r="C67" s="93">
        <f t="shared" si="1"/>
        <v>567.7890013470025</v>
      </c>
      <c r="D67" s="95">
        <f t="shared" si="2"/>
        <v>428.9509126177791</v>
      </c>
      <c r="E67" s="95">
        <f t="shared" si="3"/>
        <v>138.83808872922333</v>
      </c>
      <c r="F67" s="95">
        <f t="shared" si="4"/>
        <v>93450.45193696803</v>
      </c>
    </row>
    <row r="68" spans="2:6" ht="12.75">
      <c r="B68" s="90">
        <f t="shared" si="0"/>
        <v>54</v>
      </c>
      <c r="C68" s="93">
        <f t="shared" si="1"/>
        <v>567.7890013470025</v>
      </c>
      <c r="D68" s="95">
        <f t="shared" si="2"/>
        <v>428.31457137777016</v>
      </c>
      <c r="E68" s="95">
        <f t="shared" si="3"/>
        <v>139.4744299692323</v>
      </c>
      <c r="F68" s="95">
        <f t="shared" si="4"/>
        <v>93310.9775069988</v>
      </c>
    </row>
    <row r="69" spans="2:6" ht="12.75">
      <c r="B69" s="90">
        <f t="shared" si="0"/>
        <v>55</v>
      </c>
      <c r="C69" s="93">
        <f t="shared" si="1"/>
        <v>567.7890013470025</v>
      </c>
      <c r="D69" s="95">
        <f t="shared" si="2"/>
        <v>427.67531357374446</v>
      </c>
      <c r="E69" s="95">
        <f t="shared" si="3"/>
        <v>140.113687773258</v>
      </c>
      <c r="F69" s="95">
        <f t="shared" si="4"/>
        <v>93170.86381922553</v>
      </c>
    </row>
    <row r="70" spans="2:6" ht="12.75">
      <c r="B70" s="90">
        <f t="shared" si="0"/>
        <v>56</v>
      </c>
      <c r="C70" s="93">
        <f t="shared" si="1"/>
        <v>567.7890013470025</v>
      </c>
      <c r="D70" s="95">
        <f t="shared" si="2"/>
        <v>427.03312583811703</v>
      </c>
      <c r="E70" s="95">
        <f t="shared" si="3"/>
        <v>140.75587550888542</v>
      </c>
      <c r="F70" s="95">
        <f t="shared" si="4"/>
        <v>93030.10794371665</v>
      </c>
    </row>
    <row r="71" spans="2:6" ht="12.75">
      <c r="B71" s="90">
        <f t="shared" si="0"/>
        <v>57</v>
      </c>
      <c r="C71" s="93">
        <f t="shared" si="1"/>
        <v>567.7890013470025</v>
      </c>
      <c r="D71" s="95">
        <f t="shared" si="2"/>
        <v>426.38799474203466</v>
      </c>
      <c r="E71" s="95">
        <f t="shared" si="3"/>
        <v>141.4010066049678</v>
      </c>
      <c r="F71" s="95">
        <f t="shared" si="4"/>
        <v>92888.70693711168</v>
      </c>
    </row>
    <row r="72" spans="2:6" ht="12.75">
      <c r="B72" s="90">
        <f t="shared" si="0"/>
        <v>58</v>
      </c>
      <c r="C72" s="93">
        <f t="shared" si="1"/>
        <v>567.7890013470025</v>
      </c>
      <c r="D72" s="95">
        <f t="shared" si="2"/>
        <v>425.7399067950952</v>
      </c>
      <c r="E72" s="95">
        <f t="shared" si="3"/>
        <v>142.04909455190727</v>
      </c>
      <c r="F72" s="95">
        <f t="shared" si="4"/>
        <v>92746.65784255977</v>
      </c>
    </row>
    <row r="73" spans="2:6" ht="12.75">
      <c r="B73" s="90">
        <f t="shared" si="0"/>
        <v>59</v>
      </c>
      <c r="C73" s="93">
        <f t="shared" si="1"/>
        <v>567.7890013470025</v>
      </c>
      <c r="D73" s="95">
        <f t="shared" si="2"/>
        <v>425.0888484450656</v>
      </c>
      <c r="E73" s="95">
        <f t="shared" si="3"/>
        <v>142.70015290193686</v>
      </c>
      <c r="F73" s="95">
        <f t="shared" si="4"/>
        <v>92603.95768965784</v>
      </c>
    </row>
    <row r="74" spans="2:6" ht="12.75">
      <c r="B74" s="90">
        <f t="shared" si="0"/>
        <v>60</v>
      </c>
      <c r="C74" s="93">
        <f t="shared" si="1"/>
        <v>567.7890013470025</v>
      </c>
      <c r="D74" s="95">
        <f t="shared" si="2"/>
        <v>424.4348060775984</v>
      </c>
      <c r="E74" s="95">
        <f t="shared" si="3"/>
        <v>143.35419526940404</v>
      </c>
      <c r="F74" s="95">
        <f t="shared" si="4"/>
        <v>92460.60349438843</v>
      </c>
    </row>
    <row r="75" spans="2:6" ht="12.75">
      <c r="B75" s="90">
        <f t="shared" si="0"/>
        <v>61</v>
      </c>
      <c r="C75" s="93">
        <f t="shared" si="1"/>
        <v>567.7890013470025</v>
      </c>
      <c r="D75" s="95">
        <f t="shared" si="2"/>
        <v>423.77776601594695</v>
      </c>
      <c r="E75" s="95">
        <f t="shared" si="3"/>
        <v>144.0112353310555</v>
      </c>
      <c r="F75" s="95">
        <f t="shared" si="4"/>
        <v>92316.59225905738</v>
      </c>
    </row>
    <row r="76" spans="2:6" ht="12.75">
      <c r="B76" s="90">
        <f t="shared" si="0"/>
        <v>62</v>
      </c>
      <c r="C76" s="93">
        <f t="shared" si="1"/>
        <v>567.7890013470025</v>
      </c>
      <c r="D76" s="95">
        <f t="shared" si="2"/>
        <v>423.1177145206796</v>
      </c>
      <c r="E76" s="95">
        <f t="shared" si="3"/>
        <v>144.67128682632284</v>
      </c>
      <c r="F76" s="95">
        <f t="shared" si="4"/>
        <v>92171.92097223105</v>
      </c>
    </row>
    <row r="77" spans="2:6" ht="12.75">
      <c r="B77" s="90">
        <f t="shared" si="0"/>
        <v>63</v>
      </c>
      <c r="C77" s="93">
        <f t="shared" si="1"/>
        <v>567.7890013470025</v>
      </c>
      <c r="D77" s="95">
        <f t="shared" si="2"/>
        <v>422.4546377893923</v>
      </c>
      <c r="E77" s="95">
        <f t="shared" si="3"/>
        <v>145.33436355761017</v>
      </c>
      <c r="F77" s="95">
        <f t="shared" si="4"/>
        <v>92026.58660867343</v>
      </c>
    </row>
    <row r="78" spans="2:6" ht="12.75">
      <c r="B78" s="90">
        <f t="shared" si="0"/>
        <v>64</v>
      </c>
      <c r="C78" s="93">
        <f t="shared" si="1"/>
        <v>567.7890013470025</v>
      </c>
      <c r="D78" s="95">
        <f t="shared" si="2"/>
        <v>421.7885219564199</v>
      </c>
      <c r="E78" s="95">
        <f t="shared" si="3"/>
        <v>146.00047939058254</v>
      </c>
      <c r="F78" s="95">
        <f t="shared" si="4"/>
        <v>91880.58612928285</v>
      </c>
    </row>
    <row r="79" spans="2:6" ht="12.75">
      <c r="B79" s="90">
        <f aca="true" t="shared" si="5" ref="B79:B142">1+B78</f>
        <v>65</v>
      </c>
      <c r="C79" s="93">
        <f aca="true" t="shared" si="6" ref="C79:C142">$C$10</f>
        <v>567.7890013470025</v>
      </c>
      <c r="D79" s="95">
        <f aca="true" t="shared" si="7" ref="D79:D142">F78*$C$7</f>
        <v>421.1193530925464</v>
      </c>
      <c r="E79" s="95">
        <f aca="true" t="shared" si="8" ref="E79:E142">C79-D79</f>
        <v>146.66964825445604</v>
      </c>
      <c r="F79" s="95">
        <f aca="true" t="shared" si="9" ref="F79:F142">F78-E79</f>
        <v>91733.9164810284</v>
      </c>
    </row>
    <row r="80" spans="2:6" ht="12.75">
      <c r="B80" s="90">
        <f t="shared" si="5"/>
        <v>66</v>
      </c>
      <c r="C80" s="93">
        <f t="shared" si="6"/>
        <v>567.7890013470025</v>
      </c>
      <c r="D80" s="95">
        <f t="shared" si="7"/>
        <v>420.4471172047135</v>
      </c>
      <c r="E80" s="95">
        <f t="shared" si="8"/>
        <v>147.34188414228896</v>
      </c>
      <c r="F80" s="95">
        <f t="shared" si="9"/>
        <v>91586.57459688612</v>
      </c>
    </row>
    <row r="81" spans="2:6" ht="12.75">
      <c r="B81" s="90">
        <f t="shared" si="5"/>
        <v>67</v>
      </c>
      <c r="C81" s="93">
        <f t="shared" si="6"/>
        <v>567.7890013470025</v>
      </c>
      <c r="D81" s="95">
        <f t="shared" si="7"/>
        <v>419.77180023572805</v>
      </c>
      <c r="E81" s="95">
        <f t="shared" si="8"/>
        <v>148.0172011112744</v>
      </c>
      <c r="F81" s="95">
        <f t="shared" si="9"/>
        <v>91438.55739577484</v>
      </c>
    </row>
    <row r="82" spans="2:6" ht="12.75">
      <c r="B82" s="90">
        <f t="shared" si="5"/>
        <v>68</v>
      </c>
      <c r="C82" s="93">
        <f t="shared" si="6"/>
        <v>567.7890013470025</v>
      </c>
      <c r="D82" s="95">
        <f t="shared" si="7"/>
        <v>419.093388063968</v>
      </c>
      <c r="E82" s="95">
        <f t="shared" si="8"/>
        <v>148.69561328303445</v>
      </c>
      <c r="F82" s="95">
        <f t="shared" si="9"/>
        <v>91289.8617824918</v>
      </c>
    </row>
    <row r="83" spans="2:6" ht="12.75">
      <c r="B83" s="90">
        <f t="shared" si="5"/>
        <v>69</v>
      </c>
      <c r="C83" s="93">
        <f t="shared" si="6"/>
        <v>567.7890013470025</v>
      </c>
      <c r="D83" s="95">
        <f t="shared" si="7"/>
        <v>418.4118665030874</v>
      </c>
      <c r="E83" s="95">
        <f t="shared" si="8"/>
        <v>149.37713484391503</v>
      </c>
      <c r="F83" s="95">
        <f t="shared" si="9"/>
        <v>91140.48464764789</v>
      </c>
    </row>
    <row r="84" spans="2:6" ht="12.75">
      <c r="B84" s="90">
        <f t="shared" si="5"/>
        <v>70</v>
      </c>
      <c r="C84" s="93">
        <f t="shared" si="6"/>
        <v>567.7890013470025</v>
      </c>
      <c r="D84" s="95">
        <f t="shared" si="7"/>
        <v>417.72722130171945</v>
      </c>
      <c r="E84" s="95">
        <f t="shared" si="8"/>
        <v>150.061780045283</v>
      </c>
      <c r="F84" s="95">
        <f t="shared" si="9"/>
        <v>90990.4228676026</v>
      </c>
    </row>
    <row r="85" spans="2:6" ht="12.75">
      <c r="B85" s="90">
        <f t="shared" si="5"/>
        <v>71</v>
      </c>
      <c r="C85" s="93">
        <f t="shared" si="6"/>
        <v>567.7890013470025</v>
      </c>
      <c r="D85" s="95">
        <f t="shared" si="7"/>
        <v>417.0394381431786</v>
      </c>
      <c r="E85" s="95">
        <f t="shared" si="8"/>
        <v>150.74956320382387</v>
      </c>
      <c r="F85" s="95">
        <f t="shared" si="9"/>
        <v>90839.67330439878</v>
      </c>
    </row>
    <row r="86" spans="2:6" ht="12.75">
      <c r="B86" s="90">
        <f t="shared" si="5"/>
        <v>72</v>
      </c>
      <c r="C86" s="93">
        <f t="shared" si="6"/>
        <v>567.7890013470025</v>
      </c>
      <c r="D86" s="95">
        <f t="shared" si="7"/>
        <v>416.3485026451611</v>
      </c>
      <c r="E86" s="95">
        <f t="shared" si="8"/>
        <v>151.44049870184136</v>
      </c>
      <c r="F86" s="95">
        <f t="shared" si="9"/>
        <v>90688.23280569694</v>
      </c>
    </row>
    <row r="87" spans="2:6" ht="12.75">
      <c r="B87" s="90">
        <f t="shared" si="5"/>
        <v>73</v>
      </c>
      <c r="C87" s="93">
        <f t="shared" si="6"/>
        <v>567.7890013470025</v>
      </c>
      <c r="D87" s="95">
        <f t="shared" si="7"/>
        <v>415.6544003594443</v>
      </c>
      <c r="E87" s="95">
        <f t="shared" si="8"/>
        <v>152.13460098755814</v>
      </c>
      <c r="F87" s="95">
        <f t="shared" si="9"/>
        <v>90536.09820470939</v>
      </c>
    </row>
    <row r="88" spans="2:6" ht="12.75">
      <c r="B88" s="90">
        <f t="shared" si="5"/>
        <v>74</v>
      </c>
      <c r="C88" s="93">
        <f t="shared" si="6"/>
        <v>567.7890013470025</v>
      </c>
      <c r="D88" s="95">
        <f t="shared" si="7"/>
        <v>414.9571167715847</v>
      </c>
      <c r="E88" s="95">
        <f t="shared" si="8"/>
        <v>152.83188457541775</v>
      </c>
      <c r="F88" s="95">
        <f t="shared" si="9"/>
        <v>90383.26632013397</v>
      </c>
    </row>
    <row r="89" spans="2:6" ht="12.75">
      <c r="B89" s="90">
        <f t="shared" si="5"/>
        <v>75</v>
      </c>
      <c r="C89" s="93">
        <f t="shared" si="6"/>
        <v>567.7890013470025</v>
      </c>
      <c r="D89" s="95">
        <f t="shared" si="7"/>
        <v>414.25663730061405</v>
      </c>
      <c r="E89" s="95">
        <f t="shared" si="8"/>
        <v>153.5323640463884</v>
      </c>
      <c r="F89" s="95">
        <f t="shared" si="9"/>
        <v>90229.73395608758</v>
      </c>
    </row>
    <row r="90" spans="2:6" ht="12.75">
      <c r="B90" s="90">
        <f t="shared" si="5"/>
        <v>76</v>
      </c>
      <c r="C90" s="93">
        <f t="shared" si="6"/>
        <v>567.7890013470025</v>
      </c>
      <c r="D90" s="95">
        <f t="shared" si="7"/>
        <v>413.55294729873475</v>
      </c>
      <c r="E90" s="95">
        <f t="shared" si="8"/>
        <v>154.2360540482677</v>
      </c>
      <c r="F90" s="95">
        <f t="shared" si="9"/>
        <v>90075.49790203932</v>
      </c>
    </row>
    <row r="91" spans="2:6" ht="12.75">
      <c r="B91" s="90">
        <f t="shared" si="5"/>
        <v>77</v>
      </c>
      <c r="C91" s="93">
        <f t="shared" si="6"/>
        <v>567.7890013470025</v>
      </c>
      <c r="D91" s="95">
        <f t="shared" si="7"/>
        <v>412.84603205101354</v>
      </c>
      <c r="E91" s="95">
        <f t="shared" si="8"/>
        <v>154.94296929598892</v>
      </c>
      <c r="F91" s="95">
        <f t="shared" si="9"/>
        <v>89920.55493274334</v>
      </c>
    </row>
    <row r="92" spans="2:6" ht="12.75">
      <c r="B92" s="90">
        <f t="shared" si="5"/>
        <v>78</v>
      </c>
      <c r="C92" s="93">
        <f t="shared" si="6"/>
        <v>567.7890013470025</v>
      </c>
      <c r="D92" s="95">
        <f t="shared" si="7"/>
        <v>412.13587677507365</v>
      </c>
      <c r="E92" s="95">
        <f t="shared" si="8"/>
        <v>155.6531245719288</v>
      </c>
      <c r="F92" s="95">
        <f t="shared" si="9"/>
        <v>89764.90180817142</v>
      </c>
    </row>
    <row r="93" spans="2:6" ht="12.75">
      <c r="B93" s="90">
        <f t="shared" si="5"/>
        <v>79</v>
      </c>
      <c r="C93" s="93">
        <f t="shared" si="6"/>
        <v>567.7890013470025</v>
      </c>
      <c r="D93" s="95">
        <f t="shared" si="7"/>
        <v>411.42246662078566</v>
      </c>
      <c r="E93" s="95">
        <f t="shared" si="8"/>
        <v>156.3665347262168</v>
      </c>
      <c r="F93" s="95">
        <f t="shared" si="9"/>
        <v>89608.5352734452</v>
      </c>
    </row>
    <row r="94" spans="2:6" ht="12.75">
      <c r="B94" s="90">
        <f t="shared" si="5"/>
        <v>80</v>
      </c>
      <c r="C94" s="93">
        <f t="shared" si="6"/>
        <v>567.7890013470025</v>
      </c>
      <c r="D94" s="95">
        <f t="shared" si="7"/>
        <v>410.7057866699572</v>
      </c>
      <c r="E94" s="95">
        <f t="shared" si="8"/>
        <v>157.08321467704525</v>
      </c>
      <c r="F94" s="95">
        <f t="shared" si="9"/>
        <v>89451.45205876816</v>
      </c>
    </row>
    <row r="95" spans="2:6" ht="12.75">
      <c r="B95" s="90">
        <f t="shared" si="5"/>
        <v>81</v>
      </c>
      <c r="C95" s="93">
        <f t="shared" si="6"/>
        <v>567.7890013470025</v>
      </c>
      <c r="D95" s="95">
        <f t="shared" si="7"/>
        <v>409.9858219360207</v>
      </c>
      <c r="E95" s="95">
        <f t="shared" si="8"/>
        <v>157.80317941098173</v>
      </c>
      <c r="F95" s="95">
        <f t="shared" si="9"/>
        <v>89293.64887935718</v>
      </c>
    </row>
    <row r="96" spans="2:6" ht="12.75">
      <c r="B96" s="90">
        <f t="shared" si="5"/>
        <v>82</v>
      </c>
      <c r="C96" s="93">
        <f t="shared" si="6"/>
        <v>567.7890013470025</v>
      </c>
      <c r="D96" s="95">
        <f t="shared" si="7"/>
        <v>409.2625573637204</v>
      </c>
      <c r="E96" s="95">
        <f t="shared" si="8"/>
        <v>158.52644398328204</v>
      </c>
      <c r="F96" s="95">
        <f t="shared" si="9"/>
        <v>89135.1224353739</v>
      </c>
    </row>
    <row r="97" spans="2:6" ht="12.75">
      <c r="B97" s="90">
        <f t="shared" si="5"/>
        <v>83</v>
      </c>
      <c r="C97" s="93">
        <f t="shared" si="6"/>
        <v>567.7890013470025</v>
      </c>
      <c r="D97" s="95">
        <f t="shared" si="7"/>
        <v>408.535977828797</v>
      </c>
      <c r="E97" s="95">
        <f t="shared" si="8"/>
        <v>159.25302351820545</v>
      </c>
      <c r="F97" s="95">
        <f t="shared" si="9"/>
        <v>88975.86941185569</v>
      </c>
    </row>
    <row r="98" spans="2:6" ht="12.75">
      <c r="B98" s="90">
        <f t="shared" si="5"/>
        <v>84</v>
      </c>
      <c r="C98" s="93">
        <f t="shared" si="6"/>
        <v>567.7890013470025</v>
      </c>
      <c r="D98" s="95">
        <f t="shared" si="7"/>
        <v>407.8060681376719</v>
      </c>
      <c r="E98" s="95">
        <f t="shared" si="8"/>
        <v>159.98293320933055</v>
      </c>
      <c r="F98" s="95">
        <f t="shared" si="9"/>
        <v>88815.88647864635</v>
      </c>
    </row>
    <row r="99" spans="2:6" ht="12.75">
      <c r="B99" s="90">
        <f t="shared" si="5"/>
        <v>85</v>
      </c>
      <c r="C99" s="93">
        <f t="shared" si="6"/>
        <v>567.7890013470025</v>
      </c>
      <c r="D99" s="95">
        <f t="shared" si="7"/>
        <v>407.07281302712914</v>
      </c>
      <c r="E99" s="95">
        <f t="shared" si="8"/>
        <v>160.7161883198733</v>
      </c>
      <c r="F99" s="95">
        <f t="shared" si="9"/>
        <v>88655.17029032648</v>
      </c>
    </row>
    <row r="100" spans="2:6" ht="12.75">
      <c r="B100" s="90">
        <f t="shared" si="5"/>
        <v>86</v>
      </c>
      <c r="C100" s="93">
        <f t="shared" si="6"/>
        <v>567.7890013470025</v>
      </c>
      <c r="D100" s="95">
        <f t="shared" si="7"/>
        <v>406.33619716399636</v>
      </c>
      <c r="E100" s="95">
        <f t="shared" si="8"/>
        <v>161.4528041830061</v>
      </c>
      <c r="F100" s="95">
        <f t="shared" si="9"/>
        <v>88493.71748614348</v>
      </c>
    </row>
    <row r="101" spans="2:6" ht="12.75">
      <c r="B101" s="90">
        <f t="shared" si="5"/>
        <v>87</v>
      </c>
      <c r="C101" s="93">
        <f t="shared" si="6"/>
        <v>567.7890013470025</v>
      </c>
      <c r="D101" s="95">
        <f t="shared" si="7"/>
        <v>405.59620514482424</v>
      </c>
      <c r="E101" s="95">
        <f t="shared" si="8"/>
        <v>162.19279620217822</v>
      </c>
      <c r="F101" s="95">
        <f t="shared" si="9"/>
        <v>88331.5246899413</v>
      </c>
    </row>
    <row r="102" spans="2:6" ht="12.75">
      <c r="B102" s="90">
        <f t="shared" si="5"/>
        <v>88</v>
      </c>
      <c r="C102" s="93">
        <f t="shared" si="6"/>
        <v>567.7890013470025</v>
      </c>
      <c r="D102" s="95">
        <f t="shared" si="7"/>
        <v>404.8528214955643</v>
      </c>
      <c r="E102" s="95">
        <f t="shared" si="8"/>
        <v>162.93617985143817</v>
      </c>
      <c r="F102" s="95">
        <f t="shared" si="9"/>
        <v>88168.58851008986</v>
      </c>
    </row>
    <row r="103" spans="2:6" ht="12.75">
      <c r="B103" s="90">
        <f t="shared" si="5"/>
        <v>89</v>
      </c>
      <c r="C103" s="93">
        <f t="shared" si="6"/>
        <v>567.7890013470025</v>
      </c>
      <c r="D103" s="95">
        <f t="shared" si="7"/>
        <v>404.1060306712452</v>
      </c>
      <c r="E103" s="95">
        <f t="shared" si="8"/>
        <v>163.68297067575725</v>
      </c>
      <c r="F103" s="95">
        <f t="shared" si="9"/>
        <v>88004.9055394141</v>
      </c>
    </row>
    <row r="104" spans="2:6" ht="12.75">
      <c r="B104" s="90">
        <f t="shared" si="5"/>
        <v>90</v>
      </c>
      <c r="C104" s="93">
        <f t="shared" si="6"/>
        <v>567.7890013470025</v>
      </c>
      <c r="D104" s="95">
        <f t="shared" si="7"/>
        <v>403.355817055648</v>
      </c>
      <c r="E104" s="95">
        <f t="shared" si="8"/>
        <v>164.43318429135445</v>
      </c>
      <c r="F104" s="95">
        <f t="shared" si="9"/>
        <v>87840.47235512275</v>
      </c>
    </row>
    <row r="105" spans="2:6" ht="12.75">
      <c r="B105" s="90">
        <f t="shared" si="5"/>
        <v>91</v>
      </c>
      <c r="C105" s="93">
        <f t="shared" si="6"/>
        <v>567.7890013470025</v>
      </c>
      <c r="D105" s="95">
        <f t="shared" si="7"/>
        <v>402.6021649609793</v>
      </c>
      <c r="E105" s="95">
        <f t="shared" si="8"/>
        <v>165.18683638602317</v>
      </c>
      <c r="F105" s="95">
        <f t="shared" si="9"/>
        <v>87675.28551873672</v>
      </c>
    </row>
    <row r="106" spans="2:6" ht="12.75">
      <c r="B106" s="90">
        <f t="shared" si="5"/>
        <v>92</v>
      </c>
      <c r="C106" s="93">
        <f t="shared" si="6"/>
        <v>567.7890013470025</v>
      </c>
      <c r="D106" s="95">
        <f t="shared" si="7"/>
        <v>401.8450586275433</v>
      </c>
      <c r="E106" s="95">
        <f t="shared" si="8"/>
        <v>165.94394271945913</v>
      </c>
      <c r="F106" s="95">
        <f t="shared" si="9"/>
        <v>87509.34157601726</v>
      </c>
    </row>
    <row r="107" spans="2:6" ht="12.75">
      <c r="B107" s="90">
        <f t="shared" si="5"/>
        <v>93</v>
      </c>
      <c r="C107" s="93">
        <f t="shared" si="6"/>
        <v>567.7890013470025</v>
      </c>
      <c r="D107" s="95">
        <f t="shared" si="7"/>
        <v>401.08448222341246</v>
      </c>
      <c r="E107" s="95">
        <f t="shared" si="8"/>
        <v>166.70451912359</v>
      </c>
      <c r="F107" s="95">
        <f t="shared" si="9"/>
        <v>87342.63705689367</v>
      </c>
    </row>
    <row r="108" spans="2:6" ht="12.75">
      <c r="B108" s="90">
        <f t="shared" si="5"/>
        <v>94</v>
      </c>
      <c r="C108" s="93">
        <f t="shared" si="6"/>
        <v>567.7890013470025</v>
      </c>
      <c r="D108" s="95">
        <f t="shared" si="7"/>
        <v>400.32041984409597</v>
      </c>
      <c r="E108" s="95">
        <f t="shared" si="8"/>
        <v>167.4685815029065</v>
      </c>
      <c r="F108" s="95">
        <f t="shared" si="9"/>
        <v>87175.16847539076</v>
      </c>
    </row>
    <row r="109" spans="2:6" ht="12.75">
      <c r="B109" s="90">
        <f t="shared" si="5"/>
        <v>95</v>
      </c>
      <c r="C109" s="93">
        <f t="shared" si="6"/>
        <v>567.7890013470025</v>
      </c>
      <c r="D109" s="95">
        <f t="shared" si="7"/>
        <v>399.55285551220766</v>
      </c>
      <c r="E109" s="95">
        <f t="shared" si="8"/>
        <v>168.2361458347948</v>
      </c>
      <c r="F109" s="95">
        <f t="shared" si="9"/>
        <v>87006.93232955597</v>
      </c>
    </row>
    <row r="110" spans="2:6" ht="12.75">
      <c r="B110" s="90">
        <f t="shared" si="5"/>
        <v>96</v>
      </c>
      <c r="C110" s="93">
        <f t="shared" si="6"/>
        <v>567.7890013470025</v>
      </c>
      <c r="D110" s="95">
        <f t="shared" si="7"/>
        <v>398.7817731771315</v>
      </c>
      <c r="E110" s="95">
        <f t="shared" si="8"/>
        <v>169.00722816987093</v>
      </c>
      <c r="F110" s="95">
        <f t="shared" si="9"/>
        <v>86837.9251013861</v>
      </c>
    </row>
    <row r="111" spans="2:6" ht="12.75">
      <c r="B111" s="90">
        <f t="shared" si="5"/>
        <v>97</v>
      </c>
      <c r="C111" s="93">
        <f t="shared" si="6"/>
        <v>567.7890013470025</v>
      </c>
      <c r="D111" s="95">
        <f t="shared" si="7"/>
        <v>398.00715671468635</v>
      </c>
      <c r="E111" s="95">
        <f t="shared" si="8"/>
        <v>169.7818446323161</v>
      </c>
      <c r="F111" s="95">
        <f t="shared" si="9"/>
        <v>86668.14325675378</v>
      </c>
    </row>
    <row r="112" spans="2:6" ht="12.75">
      <c r="B112" s="90">
        <f t="shared" si="5"/>
        <v>98</v>
      </c>
      <c r="C112" s="93">
        <f t="shared" si="6"/>
        <v>567.7890013470025</v>
      </c>
      <c r="D112" s="95">
        <f t="shared" si="7"/>
        <v>397.2289899267882</v>
      </c>
      <c r="E112" s="95">
        <f t="shared" si="8"/>
        <v>170.56001142021427</v>
      </c>
      <c r="F112" s="95">
        <f t="shared" si="9"/>
        <v>86497.58324533358</v>
      </c>
    </row>
    <row r="113" spans="2:6" ht="12.75">
      <c r="B113" s="90">
        <f t="shared" si="5"/>
        <v>99</v>
      </c>
      <c r="C113" s="93">
        <f t="shared" si="6"/>
        <v>567.7890013470025</v>
      </c>
      <c r="D113" s="95">
        <f t="shared" si="7"/>
        <v>396.4472565411122</v>
      </c>
      <c r="E113" s="95">
        <f t="shared" si="8"/>
        <v>171.34174480589024</v>
      </c>
      <c r="F113" s="95">
        <f t="shared" si="9"/>
        <v>86326.24150052769</v>
      </c>
    </row>
    <row r="114" spans="2:6" ht="12.75">
      <c r="B114" s="90">
        <f t="shared" si="5"/>
        <v>100</v>
      </c>
      <c r="C114" s="93">
        <f t="shared" si="6"/>
        <v>567.7890013470025</v>
      </c>
      <c r="D114" s="95">
        <f t="shared" si="7"/>
        <v>395.6619402107519</v>
      </c>
      <c r="E114" s="95">
        <f t="shared" si="8"/>
        <v>172.12706113625057</v>
      </c>
      <c r="F114" s="95">
        <f t="shared" si="9"/>
        <v>86154.11443939143</v>
      </c>
    </row>
    <row r="115" spans="2:6" ht="12.75">
      <c r="B115" s="90">
        <f t="shared" si="5"/>
        <v>101</v>
      </c>
      <c r="C115" s="93">
        <f t="shared" si="6"/>
        <v>567.7890013470025</v>
      </c>
      <c r="D115" s="95">
        <f t="shared" si="7"/>
        <v>394.8730245138774</v>
      </c>
      <c r="E115" s="95">
        <f t="shared" si="8"/>
        <v>172.91597683312506</v>
      </c>
      <c r="F115" s="95">
        <f t="shared" si="9"/>
        <v>85981.1984625583</v>
      </c>
    </row>
    <row r="116" spans="2:6" ht="12.75">
      <c r="B116" s="90">
        <f t="shared" si="5"/>
        <v>102</v>
      </c>
      <c r="C116" s="93">
        <f t="shared" si="6"/>
        <v>567.7890013470025</v>
      </c>
      <c r="D116" s="95">
        <f t="shared" si="7"/>
        <v>394.0804929533922</v>
      </c>
      <c r="E116" s="95">
        <f t="shared" si="8"/>
        <v>173.70850839361026</v>
      </c>
      <c r="F116" s="95">
        <f t="shared" si="9"/>
        <v>85807.48995416469</v>
      </c>
    </row>
    <row r="117" spans="2:6" ht="12.75">
      <c r="B117" s="90">
        <f t="shared" si="5"/>
        <v>103</v>
      </c>
      <c r="C117" s="93">
        <f t="shared" si="6"/>
        <v>567.7890013470025</v>
      </c>
      <c r="D117" s="95">
        <f t="shared" si="7"/>
        <v>393.2843289565882</v>
      </c>
      <c r="E117" s="95">
        <f t="shared" si="8"/>
        <v>174.50467239041427</v>
      </c>
      <c r="F117" s="95">
        <f t="shared" si="9"/>
        <v>85632.98528177428</v>
      </c>
    </row>
    <row r="118" spans="2:6" ht="12.75">
      <c r="B118" s="90">
        <f t="shared" si="5"/>
        <v>104</v>
      </c>
      <c r="C118" s="93">
        <f t="shared" si="6"/>
        <v>567.7890013470025</v>
      </c>
      <c r="D118" s="95">
        <f t="shared" si="7"/>
        <v>392.4845158747988</v>
      </c>
      <c r="E118" s="95">
        <f t="shared" si="8"/>
        <v>175.30448547220368</v>
      </c>
      <c r="F118" s="95">
        <f t="shared" si="9"/>
        <v>85457.68079630207</v>
      </c>
    </row>
    <row r="119" spans="2:6" ht="12.75">
      <c r="B119" s="90">
        <f t="shared" si="5"/>
        <v>105</v>
      </c>
      <c r="C119" s="93">
        <f t="shared" si="6"/>
        <v>567.7890013470025</v>
      </c>
      <c r="D119" s="95">
        <f t="shared" si="7"/>
        <v>391.6810369830512</v>
      </c>
      <c r="E119" s="95">
        <f t="shared" si="8"/>
        <v>176.10796436395128</v>
      </c>
      <c r="F119" s="95">
        <f t="shared" si="9"/>
        <v>85281.57283193812</v>
      </c>
    </row>
    <row r="120" spans="2:6" ht="12.75">
      <c r="B120" s="90">
        <f t="shared" si="5"/>
        <v>106</v>
      </c>
      <c r="C120" s="93">
        <f t="shared" si="6"/>
        <v>567.7890013470025</v>
      </c>
      <c r="D120" s="95">
        <f t="shared" si="7"/>
        <v>390.8738754797164</v>
      </c>
      <c r="E120" s="95">
        <f t="shared" si="8"/>
        <v>176.91512586728606</v>
      </c>
      <c r="F120" s="95">
        <f t="shared" si="9"/>
        <v>85104.65770607084</v>
      </c>
    </row>
    <row r="121" spans="2:6" ht="12.75">
      <c r="B121" s="90">
        <f t="shared" si="5"/>
        <v>107</v>
      </c>
      <c r="C121" s="93">
        <f t="shared" si="6"/>
        <v>567.7890013470025</v>
      </c>
      <c r="D121" s="95">
        <f t="shared" si="7"/>
        <v>390.063014486158</v>
      </c>
      <c r="E121" s="95">
        <f t="shared" si="8"/>
        <v>177.72598686084444</v>
      </c>
      <c r="F121" s="95">
        <f t="shared" si="9"/>
        <v>84926.93171921</v>
      </c>
    </row>
    <row r="122" spans="2:6" ht="12.75">
      <c r="B122" s="90">
        <f t="shared" si="5"/>
        <v>108</v>
      </c>
      <c r="C122" s="93">
        <f t="shared" si="6"/>
        <v>567.7890013470025</v>
      </c>
      <c r="D122" s="95">
        <f t="shared" si="7"/>
        <v>389.24843704637914</v>
      </c>
      <c r="E122" s="95">
        <f t="shared" si="8"/>
        <v>178.54056430062332</v>
      </c>
      <c r="F122" s="95">
        <f t="shared" si="9"/>
        <v>84748.39115490938</v>
      </c>
    </row>
    <row r="123" spans="2:6" ht="12.75">
      <c r="B123" s="90">
        <f t="shared" si="5"/>
        <v>109</v>
      </c>
      <c r="C123" s="93">
        <f t="shared" si="6"/>
        <v>567.7890013470025</v>
      </c>
      <c r="D123" s="95">
        <f t="shared" si="7"/>
        <v>388.430126126668</v>
      </c>
      <c r="E123" s="95">
        <f t="shared" si="8"/>
        <v>179.35887522033448</v>
      </c>
      <c r="F123" s="95">
        <f t="shared" si="9"/>
        <v>84569.03227968904</v>
      </c>
    </row>
    <row r="124" spans="2:6" ht="12.75">
      <c r="B124" s="90">
        <f t="shared" si="5"/>
        <v>110</v>
      </c>
      <c r="C124" s="93">
        <f t="shared" si="6"/>
        <v>567.7890013470025</v>
      </c>
      <c r="D124" s="95">
        <f t="shared" si="7"/>
        <v>387.60806461524146</v>
      </c>
      <c r="E124" s="95">
        <f t="shared" si="8"/>
        <v>180.180936731761</v>
      </c>
      <c r="F124" s="95">
        <f t="shared" si="9"/>
        <v>84388.85134295728</v>
      </c>
    </row>
    <row r="125" spans="2:6" ht="12.75">
      <c r="B125" s="90">
        <f t="shared" si="5"/>
        <v>111</v>
      </c>
      <c r="C125" s="93">
        <f t="shared" si="6"/>
        <v>567.7890013470025</v>
      </c>
      <c r="D125" s="95">
        <f t="shared" si="7"/>
        <v>386.7822353218875</v>
      </c>
      <c r="E125" s="95">
        <f t="shared" si="8"/>
        <v>181.00676602511493</v>
      </c>
      <c r="F125" s="95">
        <f t="shared" si="9"/>
        <v>84207.84457693217</v>
      </c>
    </row>
    <row r="126" spans="2:6" ht="12.75">
      <c r="B126" s="90">
        <f t="shared" si="5"/>
        <v>112</v>
      </c>
      <c r="C126" s="93">
        <f t="shared" si="6"/>
        <v>567.7890013470025</v>
      </c>
      <c r="D126" s="95">
        <f t="shared" si="7"/>
        <v>385.95262097760576</v>
      </c>
      <c r="E126" s="95">
        <f t="shared" si="8"/>
        <v>181.8363803693967</v>
      </c>
      <c r="F126" s="95">
        <f t="shared" si="9"/>
        <v>84026.00819656278</v>
      </c>
    </row>
    <row r="127" spans="2:6" ht="12.75">
      <c r="B127" s="90">
        <f t="shared" si="5"/>
        <v>113</v>
      </c>
      <c r="C127" s="93">
        <f t="shared" si="6"/>
        <v>567.7890013470025</v>
      </c>
      <c r="D127" s="95">
        <f t="shared" si="7"/>
        <v>385.11920423424607</v>
      </c>
      <c r="E127" s="95">
        <f t="shared" si="8"/>
        <v>182.66979711275638</v>
      </c>
      <c r="F127" s="95">
        <f t="shared" si="9"/>
        <v>83843.33839945002</v>
      </c>
    </row>
    <row r="128" spans="2:6" ht="12.75">
      <c r="B128" s="90">
        <f t="shared" si="5"/>
        <v>114</v>
      </c>
      <c r="C128" s="93">
        <f t="shared" si="6"/>
        <v>567.7890013470025</v>
      </c>
      <c r="D128" s="95">
        <f t="shared" si="7"/>
        <v>384.2819676641459</v>
      </c>
      <c r="E128" s="95">
        <f t="shared" si="8"/>
        <v>183.50703368285656</v>
      </c>
      <c r="F128" s="95">
        <f t="shared" si="9"/>
        <v>83659.83136576717</v>
      </c>
    </row>
    <row r="129" spans="2:6" ht="12.75">
      <c r="B129" s="90">
        <f t="shared" si="5"/>
        <v>115</v>
      </c>
      <c r="C129" s="93">
        <f t="shared" si="6"/>
        <v>567.7890013470025</v>
      </c>
      <c r="D129" s="95">
        <f t="shared" si="7"/>
        <v>383.4408937597662</v>
      </c>
      <c r="E129" s="95">
        <f t="shared" si="8"/>
        <v>184.34810758723626</v>
      </c>
      <c r="F129" s="95">
        <f t="shared" si="9"/>
        <v>83475.48325817993</v>
      </c>
    </row>
    <row r="130" spans="2:6" ht="12.75">
      <c r="B130" s="90">
        <f t="shared" si="5"/>
        <v>116</v>
      </c>
      <c r="C130" s="93">
        <f t="shared" si="6"/>
        <v>567.7890013470025</v>
      </c>
      <c r="D130" s="95">
        <f t="shared" si="7"/>
        <v>382.5959649333247</v>
      </c>
      <c r="E130" s="95">
        <f t="shared" si="8"/>
        <v>185.19303641367776</v>
      </c>
      <c r="F130" s="95">
        <f t="shared" si="9"/>
        <v>83290.29022176625</v>
      </c>
    </row>
    <row r="131" spans="2:6" ht="12.75">
      <c r="B131" s="90">
        <f t="shared" si="5"/>
        <v>117</v>
      </c>
      <c r="C131" s="93">
        <f t="shared" si="6"/>
        <v>567.7890013470025</v>
      </c>
      <c r="D131" s="95">
        <f t="shared" si="7"/>
        <v>381.74716351642866</v>
      </c>
      <c r="E131" s="95">
        <f t="shared" si="8"/>
        <v>186.0418378305738</v>
      </c>
      <c r="F131" s="95">
        <f t="shared" si="9"/>
        <v>83104.24838393567</v>
      </c>
    </row>
    <row r="132" spans="2:6" ht="12.75">
      <c r="B132" s="90">
        <f t="shared" si="5"/>
        <v>118</v>
      </c>
      <c r="C132" s="93">
        <f t="shared" si="6"/>
        <v>567.7890013470025</v>
      </c>
      <c r="D132" s="95">
        <f t="shared" si="7"/>
        <v>380.89447175970514</v>
      </c>
      <c r="E132" s="95">
        <f t="shared" si="8"/>
        <v>186.8945295872973</v>
      </c>
      <c r="F132" s="95">
        <f t="shared" si="9"/>
        <v>82917.35385434837</v>
      </c>
    </row>
    <row r="133" spans="2:6" ht="12.75">
      <c r="B133" s="90">
        <f t="shared" si="5"/>
        <v>119</v>
      </c>
      <c r="C133" s="93">
        <f t="shared" si="6"/>
        <v>567.7890013470025</v>
      </c>
      <c r="D133" s="95">
        <f t="shared" si="7"/>
        <v>380.03787183243</v>
      </c>
      <c r="E133" s="95">
        <f t="shared" si="8"/>
        <v>187.75112951457243</v>
      </c>
      <c r="F133" s="95">
        <f t="shared" si="9"/>
        <v>82729.6027248338</v>
      </c>
    </row>
    <row r="134" spans="2:6" ht="12.75">
      <c r="B134" s="90">
        <f t="shared" si="5"/>
        <v>120</v>
      </c>
      <c r="C134" s="93">
        <f t="shared" si="6"/>
        <v>567.7890013470025</v>
      </c>
      <c r="D134" s="95">
        <f t="shared" si="7"/>
        <v>379.17734582215496</v>
      </c>
      <c r="E134" s="95">
        <f t="shared" si="8"/>
        <v>188.6116555248475</v>
      </c>
      <c r="F134" s="95">
        <f t="shared" si="9"/>
        <v>82540.99106930896</v>
      </c>
    </row>
    <row r="135" spans="2:6" ht="12.75">
      <c r="B135" s="90">
        <f t="shared" si="5"/>
        <v>121</v>
      </c>
      <c r="C135" s="93">
        <f t="shared" si="6"/>
        <v>567.7890013470025</v>
      </c>
      <c r="D135" s="95">
        <f t="shared" si="7"/>
        <v>378.31287573433275</v>
      </c>
      <c r="E135" s="95">
        <f t="shared" si="8"/>
        <v>189.4761256126697</v>
      </c>
      <c r="F135" s="95">
        <f t="shared" si="9"/>
        <v>82351.5149436963</v>
      </c>
    </row>
    <row r="136" spans="2:6" ht="12.75">
      <c r="B136" s="90">
        <f t="shared" si="5"/>
        <v>122</v>
      </c>
      <c r="C136" s="93">
        <f t="shared" si="6"/>
        <v>567.7890013470025</v>
      </c>
      <c r="D136" s="95">
        <f t="shared" si="7"/>
        <v>377.44444349194134</v>
      </c>
      <c r="E136" s="95">
        <f t="shared" si="8"/>
        <v>190.3445578550611</v>
      </c>
      <c r="F136" s="95">
        <f t="shared" si="9"/>
        <v>82161.17038584124</v>
      </c>
    </row>
    <row r="137" spans="2:6" ht="12.75">
      <c r="B137" s="90">
        <f t="shared" si="5"/>
        <v>123</v>
      </c>
      <c r="C137" s="93">
        <f t="shared" si="6"/>
        <v>567.7890013470025</v>
      </c>
      <c r="D137" s="95">
        <f t="shared" si="7"/>
        <v>376.57203093510566</v>
      </c>
      <c r="E137" s="95">
        <f t="shared" si="8"/>
        <v>191.2169704118968</v>
      </c>
      <c r="F137" s="95">
        <f t="shared" si="9"/>
        <v>81969.95341542934</v>
      </c>
    </row>
    <row r="138" spans="2:6" ht="12.75">
      <c r="B138" s="90">
        <f t="shared" si="5"/>
        <v>124</v>
      </c>
      <c r="C138" s="93">
        <f t="shared" si="6"/>
        <v>567.7890013470025</v>
      </c>
      <c r="D138" s="95">
        <f t="shared" si="7"/>
        <v>375.6956198207178</v>
      </c>
      <c r="E138" s="95">
        <f t="shared" si="8"/>
        <v>192.09338152628465</v>
      </c>
      <c r="F138" s="95">
        <f t="shared" si="9"/>
        <v>81777.86003390305</v>
      </c>
    </row>
    <row r="139" spans="2:6" ht="12.75">
      <c r="B139" s="90">
        <f t="shared" si="5"/>
        <v>125</v>
      </c>
      <c r="C139" s="93">
        <f t="shared" si="6"/>
        <v>567.7890013470025</v>
      </c>
      <c r="D139" s="95">
        <f t="shared" si="7"/>
        <v>374.8151918220557</v>
      </c>
      <c r="E139" s="95">
        <f t="shared" si="8"/>
        <v>192.97380952494677</v>
      </c>
      <c r="F139" s="95">
        <f t="shared" si="9"/>
        <v>81584.8862243781</v>
      </c>
    </row>
    <row r="140" spans="2:6" ht="12.75">
      <c r="B140" s="90">
        <f t="shared" si="5"/>
        <v>126</v>
      </c>
      <c r="C140" s="93">
        <f t="shared" si="6"/>
        <v>567.7890013470025</v>
      </c>
      <c r="D140" s="95">
        <f t="shared" si="7"/>
        <v>373.93072852839964</v>
      </c>
      <c r="E140" s="95">
        <f t="shared" si="8"/>
        <v>193.8582728186028</v>
      </c>
      <c r="F140" s="95">
        <f t="shared" si="9"/>
        <v>81391.0279515595</v>
      </c>
    </row>
    <row r="141" spans="2:6" ht="12.75">
      <c r="B141" s="90">
        <f t="shared" si="5"/>
        <v>127</v>
      </c>
      <c r="C141" s="93">
        <f t="shared" si="6"/>
        <v>567.7890013470025</v>
      </c>
      <c r="D141" s="95">
        <f t="shared" si="7"/>
        <v>373.0422114446477</v>
      </c>
      <c r="E141" s="95">
        <f t="shared" si="8"/>
        <v>194.74678990235475</v>
      </c>
      <c r="F141" s="95">
        <f t="shared" si="9"/>
        <v>81196.28116165714</v>
      </c>
    </row>
    <row r="142" spans="2:6" ht="12.75">
      <c r="B142" s="90">
        <f t="shared" si="5"/>
        <v>128</v>
      </c>
      <c r="C142" s="93">
        <f t="shared" si="6"/>
        <v>567.7890013470025</v>
      </c>
      <c r="D142" s="95">
        <f t="shared" si="7"/>
        <v>372.14962199092855</v>
      </c>
      <c r="E142" s="95">
        <f t="shared" si="8"/>
        <v>195.6393793560739</v>
      </c>
      <c r="F142" s="95">
        <f t="shared" si="9"/>
        <v>81000.64178230107</v>
      </c>
    </row>
    <row r="143" spans="2:6" ht="12.75">
      <c r="B143" s="90">
        <f aca="true" t="shared" si="10" ref="B143:B206">1+B142</f>
        <v>129</v>
      </c>
      <c r="C143" s="93">
        <f aca="true" t="shared" si="11" ref="C143:C206">$C$10</f>
        <v>567.7890013470025</v>
      </c>
      <c r="D143" s="95">
        <f aca="true" t="shared" si="12" ref="D143:D206">F142*$C$7</f>
        <v>371.2529415022132</v>
      </c>
      <c r="E143" s="95">
        <f aca="true" t="shared" si="13" ref="E143:E206">C143-D143</f>
        <v>196.53605984478924</v>
      </c>
      <c r="F143" s="95">
        <f aca="true" t="shared" si="14" ref="F143:F206">F142-E143</f>
        <v>80804.10572245628</v>
      </c>
    </row>
    <row r="144" spans="2:6" ht="12.75">
      <c r="B144" s="90">
        <f t="shared" si="10"/>
        <v>130</v>
      </c>
      <c r="C144" s="93">
        <f t="shared" si="11"/>
        <v>567.7890013470025</v>
      </c>
      <c r="D144" s="95">
        <f t="shared" si="12"/>
        <v>370.35215122792465</v>
      </c>
      <c r="E144" s="95">
        <f t="shared" si="13"/>
        <v>197.4368501190778</v>
      </c>
      <c r="F144" s="95">
        <f t="shared" si="14"/>
        <v>80606.6688723372</v>
      </c>
    </row>
    <row r="145" spans="2:6" ht="12.75">
      <c r="B145" s="90">
        <f t="shared" si="10"/>
        <v>131</v>
      </c>
      <c r="C145" s="93">
        <f t="shared" si="11"/>
        <v>567.7890013470025</v>
      </c>
      <c r="D145" s="95">
        <f t="shared" si="12"/>
        <v>369.44723233154554</v>
      </c>
      <c r="E145" s="95">
        <f t="shared" si="13"/>
        <v>198.34176901545692</v>
      </c>
      <c r="F145" s="95">
        <f t="shared" si="14"/>
        <v>80408.32710332175</v>
      </c>
    </row>
    <row r="146" spans="2:6" ht="12.75">
      <c r="B146" s="90">
        <f t="shared" si="10"/>
        <v>132</v>
      </c>
      <c r="C146" s="93">
        <f t="shared" si="11"/>
        <v>567.7890013470025</v>
      </c>
      <c r="D146" s="95">
        <f t="shared" si="12"/>
        <v>368.53816589022466</v>
      </c>
      <c r="E146" s="95">
        <f t="shared" si="13"/>
        <v>199.2508354567778</v>
      </c>
      <c r="F146" s="95">
        <f t="shared" si="14"/>
        <v>80209.07626786496</v>
      </c>
    </row>
    <row r="147" spans="2:6" ht="12.75">
      <c r="B147" s="90">
        <f t="shared" si="10"/>
        <v>133</v>
      </c>
      <c r="C147" s="93">
        <f t="shared" si="11"/>
        <v>567.7890013470025</v>
      </c>
      <c r="D147" s="95">
        <f t="shared" si="12"/>
        <v>367.62493289438106</v>
      </c>
      <c r="E147" s="95">
        <f t="shared" si="13"/>
        <v>200.1640684526214</v>
      </c>
      <c r="F147" s="95">
        <f t="shared" si="14"/>
        <v>80008.91219941234</v>
      </c>
    </row>
    <row r="148" spans="2:6" ht="12.75">
      <c r="B148" s="90">
        <f t="shared" si="10"/>
        <v>134</v>
      </c>
      <c r="C148" s="93">
        <f t="shared" si="11"/>
        <v>567.7890013470025</v>
      </c>
      <c r="D148" s="95">
        <f t="shared" si="12"/>
        <v>366.70751424730656</v>
      </c>
      <c r="E148" s="95">
        <f t="shared" si="13"/>
        <v>201.0814870996959</v>
      </c>
      <c r="F148" s="95">
        <f t="shared" si="14"/>
        <v>79807.83071231264</v>
      </c>
    </row>
    <row r="149" spans="2:6" ht="12.75">
      <c r="B149" s="90">
        <f t="shared" si="10"/>
        <v>135</v>
      </c>
      <c r="C149" s="93">
        <f t="shared" si="11"/>
        <v>567.7890013470025</v>
      </c>
      <c r="D149" s="95">
        <f t="shared" si="12"/>
        <v>365.7858907647663</v>
      </c>
      <c r="E149" s="95">
        <f t="shared" si="13"/>
        <v>202.00311058223616</v>
      </c>
      <c r="F149" s="95">
        <f t="shared" si="14"/>
        <v>79605.8276017304</v>
      </c>
    </row>
    <row r="150" spans="2:6" ht="12.75">
      <c r="B150" s="90">
        <f t="shared" si="10"/>
        <v>136</v>
      </c>
      <c r="C150" s="93">
        <f t="shared" si="11"/>
        <v>567.7890013470025</v>
      </c>
      <c r="D150" s="95">
        <f t="shared" si="12"/>
        <v>364.86004317459765</v>
      </c>
      <c r="E150" s="95">
        <f t="shared" si="13"/>
        <v>202.9289581724048</v>
      </c>
      <c r="F150" s="95">
        <f t="shared" si="14"/>
        <v>79402.898643558</v>
      </c>
    </row>
    <row r="151" spans="2:6" ht="12.75">
      <c r="B151" s="90">
        <f t="shared" si="10"/>
        <v>137</v>
      </c>
      <c r="C151" s="93">
        <f t="shared" si="11"/>
        <v>567.7890013470025</v>
      </c>
      <c r="D151" s="95">
        <f t="shared" si="12"/>
        <v>363.9299521163075</v>
      </c>
      <c r="E151" s="95">
        <f t="shared" si="13"/>
        <v>203.85904923069495</v>
      </c>
      <c r="F151" s="95">
        <f t="shared" si="14"/>
        <v>79199.0395943273</v>
      </c>
    </row>
    <row r="152" spans="2:6" ht="12.75">
      <c r="B152" s="90">
        <f t="shared" si="10"/>
        <v>138</v>
      </c>
      <c r="C152" s="93">
        <f t="shared" si="11"/>
        <v>567.7890013470025</v>
      </c>
      <c r="D152" s="95">
        <f t="shared" si="12"/>
        <v>362.9955981406668</v>
      </c>
      <c r="E152" s="95">
        <f t="shared" si="13"/>
        <v>204.79340320633565</v>
      </c>
      <c r="F152" s="95">
        <f t="shared" si="14"/>
        <v>78994.24619112097</v>
      </c>
    </row>
    <row r="153" spans="2:6" ht="12.75">
      <c r="B153" s="90">
        <f t="shared" si="10"/>
        <v>139</v>
      </c>
      <c r="C153" s="93">
        <f t="shared" si="11"/>
        <v>567.7890013470025</v>
      </c>
      <c r="D153" s="95">
        <f t="shared" si="12"/>
        <v>362.05696170930446</v>
      </c>
      <c r="E153" s="95">
        <f t="shared" si="13"/>
        <v>205.732039637698</v>
      </c>
      <c r="F153" s="95">
        <f t="shared" si="14"/>
        <v>78788.51415148326</v>
      </c>
    </row>
    <row r="154" spans="2:6" ht="12.75">
      <c r="B154" s="90">
        <f t="shared" si="10"/>
        <v>140</v>
      </c>
      <c r="C154" s="93">
        <f t="shared" si="11"/>
        <v>567.7890013470025</v>
      </c>
      <c r="D154" s="95">
        <f t="shared" si="12"/>
        <v>361.1140231942983</v>
      </c>
      <c r="E154" s="95">
        <f t="shared" si="13"/>
        <v>206.67497815270417</v>
      </c>
      <c r="F154" s="95">
        <f t="shared" si="14"/>
        <v>78581.83917333056</v>
      </c>
    </row>
    <row r="155" spans="2:6" ht="12.75">
      <c r="B155" s="90">
        <f t="shared" si="10"/>
        <v>141</v>
      </c>
      <c r="C155" s="93">
        <f t="shared" si="11"/>
        <v>567.7890013470025</v>
      </c>
      <c r="D155" s="95">
        <f t="shared" si="12"/>
        <v>360.16676287776505</v>
      </c>
      <c r="E155" s="95">
        <f t="shared" si="13"/>
        <v>207.6222384692374</v>
      </c>
      <c r="F155" s="95">
        <f t="shared" si="14"/>
        <v>78374.21693486132</v>
      </c>
    </row>
    <row r="156" spans="2:6" ht="12.75">
      <c r="B156" s="90">
        <f t="shared" si="10"/>
        <v>142</v>
      </c>
      <c r="C156" s="93">
        <f t="shared" si="11"/>
        <v>567.7890013470025</v>
      </c>
      <c r="D156" s="95">
        <f t="shared" si="12"/>
        <v>359.21516095144773</v>
      </c>
      <c r="E156" s="95">
        <f t="shared" si="13"/>
        <v>208.57384039555473</v>
      </c>
      <c r="F156" s="95">
        <f t="shared" si="14"/>
        <v>78165.64309446578</v>
      </c>
    </row>
    <row r="157" spans="2:6" ht="12.75">
      <c r="B157" s="90">
        <f t="shared" si="10"/>
        <v>143</v>
      </c>
      <c r="C157" s="93">
        <f t="shared" si="11"/>
        <v>567.7890013470025</v>
      </c>
      <c r="D157" s="95">
        <f t="shared" si="12"/>
        <v>358.25919751630147</v>
      </c>
      <c r="E157" s="95">
        <f t="shared" si="13"/>
        <v>209.52980383070098</v>
      </c>
      <c r="F157" s="95">
        <f t="shared" si="14"/>
        <v>77956.11329063508</v>
      </c>
    </row>
    <row r="158" spans="2:6" ht="12.75">
      <c r="B158" s="90">
        <f t="shared" si="10"/>
        <v>144</v>
      </c>
      <c r="C158" s="93">
        <f t="shared" si="11"/>
        <v>567.7890013470025</v>
      </c>
      <c r="D158" s="95">
        <f t="shared" si="12"/>
        <v>357.2988525820775</v>
      </c>
      <c r="E158" s="95">
        <f t="shared" si="13"/>
        <v>210.49014876492498</v>
      </c>
      <c r="F158" s="95">
        <f t="shared" si="14"/>
        <v>77745.62314187016</v>
      </c>
    </row>
    <row r="159" spans="2:6" ht="12.75">
      <c r="B159" s="90">
        <f t="shared" si="10"/>
        <v>145</v>
      </c>
      <c r="C159" s="93">
        <f t="shared" si="11"/>
        <v>567.7890013470025</v>
      </c>
      <c r="D159" s="95">
        <f t="shared" si="12"/>
        <v>356.3341060669049</v>
      </c>
      <c r="E159" s="95">
        <f t="shared" si="13"/>
        <v>211.45489528009756</v>
      </c>
      <c r="F159" s="95">
        <f t="shared" si="14"/>
        <v>77534.16824659007</v>
      </c>
    </row>
    <row r="160" spans="2:6" ht="12.75">
      <c r="B160" s="90">
        <f t="shared" si="10"/>
        <v>146</v>
      </c>
      <c r="C160" s="93">
        <f t="shared" si="11"/>
        <v>567.7890013470025</v>
      </c>
      <c r="D160" s="95">
        <f t="shared" si="12"/>
        <v>355.3649377968711</v>
      </c>
      <c r="E160" s="95">
        <f t="shared" si="13"/>
        <v>212.42406355013134</v>
      </c>
      <c r="F160" s="95">
        <f t="shared" si="14"/>
        <v>77321.74418303993</v>
      </c>
    </row>
    <row r="161" spans="2:6" ht="12.75">
      <c r="B161" s="90">
        <f t="shared" si="10"/>
        <v>147</v>
      </c>
      <c r="C161" s="93">
        <f t="shared" si="11"/>
        <v>567.7890013470025</v>
      </c>
      <c r="D161" s="95">
        <f t="shared" si="12"/>
        <v>354.3913275055997</v>
      </c>
      <c r="E161" s="95">
        <f t="shared" si="13"/>
        <v>213.39767384140276</v>
      </c>
      <c r="F161" s="95">
        <f t="shared" si="14"/>
        <v>77108.34650919853</v>
      </c>
    </row>
    <row r="162" spans="2:6" ht="12.75">
      <c r="B162" s="90">
        <f t="shared" si="10"/>
        <v>148</v>
      </c>
      <c r="C162" s="93">
        <f t="shared" si="11"/>
        <v>567.7890013470025</v>
      </c>
      <c r="D162" s="95">
        <f t="shared" si="12"/>
        <v>353.41325483382656</v>
      </c>
      <c r="E162" s="95">
        <f t="shared" si="13"/>
        <v>214.3757465131759</v>
      </c>
      <c r="F162" s="95">
        <f t="shared" si="14"/>
        <v>76893.97076268535</v>
      </c>
    </row>
    <row r="163" spans="2:6" ht="12.75">
      <c r="B163" s="90">
        <f t="shared" si="10"/>
        <v>149</v>
      </c>
      <c r="C163" s="93">
        <f t="shared" si="11"/>
        <v>567.7890013470025</v>
      </c>
      <c r="D163" s="95">
        <f t="shared" si="12"/>
        <v>352.4306993289745</v>
      </c>
      <c r="E163" s="95">
        <f t="shared" si="13"/>
        <v>215.35830201802793</v>
      </c>
      <c r="F163" s="95">
        <f t="shared" si="14"/>
        <v>76678.61246066733</v>
      </c>
    </row>
    <row r="164" spans="2:6" ht="12.75">
      <c r="B164" s="90">
        <f t="shared" si="10"/>
        <v>150</v>
      </c>
      <c r="C164" s="93">
        <f t="shared" si="11"/>
        <v>567.7890013470025</v>
      </c>
      <c r="D164" s="95">
        <f t="shared" si="12"/>
        <v>351.44364044472525</v>
      </c>
      <c r="E164" s="95">
        <f t="shared" si="13"/>
        <v>216.3453609022772</v>
      </c>
      <c r="F164" s="95">
        <f t="shared" si="14"/>
        <v>76462.26709976504</v>
      </c>
    </row>
    <row r="165" spans="2:6" ht="12.75">
      <c r="B165" s="90">
        <f t="shared" si="10"/>
        <v>151</v>
      </c>
      <c r="C165" s="93">
        <f t="shared" si="11"/>
        <v>567.7890013470025</v>
      </c>
      <c r="D165" s="95">
        <f t="shared" si="12"/>
        <v>350.4520575405898</v>
      </c>
      <c r="E165" s="95">
        <f t="shared" si="13"/>
        <v>217.33694380641265</v>
      </c>
      <c r="F165" s="95">
        <f t="shared" si="14"/>
        <v>76244.93015595863</v>
      </c>
    </row>
    <row r="166" spans="2:6" ht="12.75">
      <c r="B166" s="90">
        <f t="shared" si="10"/>
        <v>152</v>
      </c>
      <c r="C166" s="93">
        <f t="shared" si="11"/>
        <v>567.7890013470025</v>
      </c>
      <c r="D166" s="95">
        <f t="shared" si="12"/>
        <v>349.45592988147706</v>
      </c>
      <c r="E166" s="95">
        <f t="shared" si="13"/>
        <v>218.3330714655254</v>
      </c>
      <c r="F166" s="95">
        <f t="shared" si="14"/>
        <v>76026.5970844931</v>
      </c>
    </row>
    <row r="167" spans="2:6" ht="12.75">
      <c r="B167" s="90">
        <f t="shared" si="10"/>
        <v>153</v>
      </c>
      <c r="C167" s="93">
        <f t="shared" si="11"/>
        <v>567.7890013470025</v>
      </c>
      <c r="D167" s="95">
        <f t="shared" si="12"/>
        <v>348.45523663726004</v>
      </c>
      <c r="E167" s="95">
        <f t="shared" si="13"/>
        <v>219.3337647097424</v>
      </c>
      <c r="F167" s="95">
        <f t="shared" si="14"/>
        <v>75807.26331978336</v>
      </c>
    </row>
    <row r="168" spans="2:6" ht="12.75">
      <c r="B168" s="90">
        <f t="shared" si="10"/>
        <v>154</v>
      </c>
      <c r="C168" s="93">
        <f t="shared" si="11"/>
        <v>567.7890013470025</v>
      </c>
      <c r="D168" s="95">
        <f t="shared" si="12"/>
        <v>347.4499568823404</v>
      </c>
      <c r="E168" s="95">
        <f t="shared" si="13"/>
        <v>220.33904446466204</v>
      </c>
      <c r="F168" s="95">
        <f t="shared" si="14"/>
        <v>75586.9242753187</v>
      </c>
    </row>
    <row r="169" spans="2:6" ht="12.75">
      <c r="B169" s="90">
        <f t="shared" si="10"/>
        <v>155</v>
      </c>
      <c r="C169" s="93">
        <f t="shared" si="11"/>
        <v>567.7890013470025</v>
      </c>
      <c r="D169" s="95">
        <f t="shared" si="12"/>
        <v>346.44006959521073</v>
      </c>
      <c r="E169" s="95">
        <f t="shared" si="13"/>
        <v>221.34893175179172</v>
      </c>
      <c r="F169" s="95">
        <f t="shared" si="14"/>
        <v>75365.5753435669</v>
      </c>
    </row>
    <row r="170" spans="2:6" ht="12.75">
      <c r="B170" s="90">
        <f t="shared" si="10"/>
        <v>156</v>
      </c>
      <c r="C170" s="93">
        <f t="shared" si="11"/>
        <v>567.7890013470025</v>
      </c>
      <c r="D170" s="95">
        <f t="shared" si="12"/>
        <v>345.42555365801496</v>
      </c>
      <c r="E170" s="95">
        <f t="shared" si="13"/>
        <v>222.3634476889875</v>
      </c>
      <c r="F170" s="95">
        <f t="shared" si="14"/>
        <v>75143.21189587792</v>
      </c>
    </row>
    <row r="171" spans="2:6" ht="12.75">
      <c r="B171" s="90">
        <f t="shared" si="10"/>
        <v>157</v>
      </c>
      <c r="C171" s="93">
        <f t="shared" si="11"/>
        <v>567.7890013470025</v>
      </c>
      <c r="D171" s="95">
        <f t="shared" si="12"/>
        <v>344.40638785610713</v>
      </c>
      <c r="E171" s="95">
        <f t="shared" si="13"/>
        <v>223.38261349089532</v>
      </c>
      <c r="F171" s="95">
        <f t="shared" si="14"/>
        <v>74919.82928238703</v>
      </c>
    </row>
    <row r="172" spans="2:6" ht="12.75">
      <c r="B172" s="90">
        <f t="shared" si="10"/>
        <v>158</v>
      </c>
      <c r="C172" s="93">
        <f t="shared" si="11"/>
        <v>567.7890013470025</v>
      </c>
      <c r="D172" s="95">
        <f t="shared" si="12"/>
        <v>343.38255087760723</v>
      </c>
      <c r="E172" s="95">
        <f t="shared" si="13"/>
        <v>224.40645046939522</v>
      </c>
      <c r="F172" s="95">
        <f t="shared" si="14"/>
        <v>74695.42283191763</v>
      </c>
    </row>
    <row r="173" spans="2:6" ht="12.75">
      <c r="B173" s="90">
        <f t="shared" si="10"/>
        <v>159</v>
      </c>
      <c r="C173" s="93">
        <f t="shared" si="11"/>
        <v>567.7890013470025</v>
      </c>
      <c r="D173" s="95">
        <f t="shared" si="12"/>
        <v>342.3540213129558</v>
      </c>
      <c r="E173" s="95">
        <f t="shared" si="13"/>
        <v>225.43498003404665</v>
      </c>
      <c r="F173" s="95">
        <f t="shared" si="14"/>
        <v>74469.98785188359</v>
      </c>
    </row>
    <row r="174" spans="2:6" ht="12.75">
      <c r="B174" s="90">
        <f t="shared" si="10"/>
        <v>160</v>
      </c>
      <c r="C174" s="93">
        <f t="shared" si="11"/>
        <v>567.7890013470025</v>
      </c>
      <c r="D174" s="95">
        <f t="shared" si="12"/>
        <v>341.32077765446644</v>
      </c>
      <c r="E174" s="95">
        <f t="shared" si="13"/>
        <v>226.46822369253601</v>
      </c>
      <c r="F174" s="95">
        <f t="shared" si="14"/>
        <v>74243.51962819106</v>
      </c>
    </row>
    <row r="175" spans="2:6" ht="12.75">
      <c r="B175" s="90">
        <f t="shared" si="10"/>
        <v>161</v>
      </c>
      <c r="C175" s="93">
        <f t="shared" si="11"/>
        <v>567.7890013470025</v>
      </c>
      <c r="D175" s="95">
        <f t="shared" si="12"/>
        <v>340.2827982958757</v>
      </c>
      <c r="E175" s="95">
        <f t="shared" si="13"/>
        <v>227.50620305112676</v>
      </c>
      <c r="F175" s="95">
        <f t="shared" si="14"/>
        <v>74016.01342513993</v>
      </c>
    </row>
    <row r="176" spans="2:6" ht="12.75">
      <c r="B176" s="90">
        <f t="shared" si="10"/>
        <v>162</v>
      </c>
      <c r="C176" s="93">
        <f t="shared" si="11"/>
        <v>567.7890013470025</v>
      </c>
      <c r="D176" s="95">
        <f t="shared" si="12"/>
        <v>339.24006153189134</v>
      </c>
      <c r="E176" s="95">
        <f t="shared" si="13"/>
        <v>228.5489398151111</v>
      </c>
      <c r="F176" s="95">
        <f t="shared" si="14"/>
        <v>73787.46448532482</v>
      </c>
    </row>
    <row r="177" spans="2:6" ht="12.75">
      <c r="B177" s="90">
        <f t="shared" si="10"/>
        <v>163</v>
      </c>
      <c r="C177" s="93">
        <f t="shared" si="11"/>
        <v>567.7890013470025</v>
      </c>
      <c r="D177" s="95">
        <f t="shared" si="12"/>
        <v>338.19254555773875</v>
      </c>
      <c r="E177" s="95">
        <f t="shared" si="13"/>
        <v>229.5964557892637</v>
      </c>
      <c r="F177" s="95">
        <f t="shared" si="14"/>
        <v>73557.86802953556</v>
      </c>
    </row>
    <row r="178" spans="2:6" ht="12.75">
      <c r="B178" s="90">
        <f t="shared" si="10"/>
        <v>164</v>
      </c>
      <c r="C178" s="93">
        <f t="shared" si="11"/>
        <v>567.7890013470025</v>
      </c>
      <c r="D178" s="95">
        <f t="shared" si="12"/>
        <v>337.14022846870466</v>
      </c>
      <c r="E178" s="95">
        <f t="shared" si="13"/>
        <v>230.6487728782978</v>
      </c>
      <c r="F178" s="95">
        <f t="shared" si="14"/>
        <v>73327.21925665726</v>
      </c>
    </row>
    <row r="179" spans="2:6" ht="12.75">
      <c r="B179" s="90">
        <f t="shared" si="10"/>
        <v>165</v>
      </c>
      <c r="C179" s="93">
        <f t="shared" si="11"/>
        <v>567.7890013470025</v>
      </c>
      <c r="D179" s="95">
        <f t="shared" si="12"/>
        <v>336.08308825967913</v>
      </c>
      <c r="E179" s="95">
        <f t="shared" si="13"/>
        <v>231.70591308732332</v>
      </c>
      <c r="F179" s="95">
        <f t="shared" si="14"/>
        <v>73095.51334356994</v>
      </c>
    </row>
    <row r="180" spans="2:6" ht="12.75">
      <c r="B180" s="90">
        <f t="shared" si="10"/>
        <v>166</v>
      </c>
      <c r="C180" s="93">
        <f t="shared" si="11"/>
        <v>567.7890013470025</v>
      </c>
      <c r="D180" s="95">
        <f t="shared" si="12"/>
        <v>335.02110282469556</v>
      </c>
      <c r="E180" s="95">
        <f t="shared" si="13"/>
        <v>232.7678985223069</v>
      </c>
      <c r="F180" s="95">
        <f t="shared" si="14"/>
        <v>72862.74544504764</v>
      </c>
    </row>
    <row r="181" spans="2:6" ht="12.75">
      <c r="B181" s="90">
        <f t="shared" si="10"/>
        <v>167</v>
      </c>
      <c r="C181" s="93">
        <f t="shared" si="11"/>
        <v>567.7890013470025</v>
      </c>
      <c r="D181" s="95">
        <f t="shared" si="12"/>
        <v>333.95424995646835</v>
      </c>
      <c r="E181" s="95">
        <f t="shared" si="13"/>
        <v>233.8347513905341</v>
      </c>
      <c r="F181" s="95">
        <f t="shared" si="14"/>
        <v>72628.9106936571</v>
      </c>
    </row>
    <row r="182" spans="2:6" ht="12.75">
      <c r="B182" s="90">
        <f t="shared" si="10"/>
        <v>168</v>
      </c>
      <c r="C182" s="93">
        <f t="shared" si="11"/>
        <v>567.7890013470025</v>
      </c>
      <c r="D182" s="95">
        <f t="shared" si="12"/>
        <v>332.8825073459284</v>
      </c>
      <c r="E182" s="95">
        <f t="shared" si="13"/>
        <v>234.90649400107407</v>
      </c>
      <c r="F182" s="95">
        <f t="shared" si="14"/>
        <v>72394.00419965603</v>
      </c>
    </row>
    <row r="183" spans="2:6" ht="12.75">
      <c r="B183" s="90">
        <f t="shared" si="10"/>
        <v>169</v>
      </c>
      <c r="C183" s="93">
        <f t="shared" si="11"/>
        <v>567.7890013470025</v>
      </c>
      <c r="D183" s="95">
        <f t="shared" si="12"/>
        <v>331.8058525817568</v>
      </c>
      <c r="E183" s="95">
        <f t="shared" si="13"/>
        <v>235.98314876524563</v>
      </c>
      <c r="F183" s="95">
        <f t="shared" si="14"/>
        <v>72158.02105089079</v>
      </c>
    </row>
    <row r="184" spans="2:6" ht="12.75">
      <c r="B184" s="90">
        <f t="shared" si="10"/>
        <v>170</v>
      </c>
      <c r="C184" s="93">
        <f t="shared" si="11"/>
        <v>567.7890013470025</v>
      </c>
      <c r="D184" s="95">
        <f t="shared" si="12"/>
        <v>330.7242631499161</v>
      </c>
      <c r="E184" s="95">
        <f t="shared" si="13"/>
        <v>237.06473819708634</v>
      </c>
      <c r="F184" s="95">
        <f t="shared" si="14"/>
        <v>71920.9563126937</v>
      </c>
    </row>
    <row r="185" spans="2:6" ht="12.75">
      <c r="B185" s="90">
        <f t="shared" si="10"/>
        <v>171</v>
      </c>
      <c r="C185" s="93">
        <f t="shared" si="11"/>
        <v>567.7890013470025</v>
      </c>
      <c r="D185" s="95">
        <f t="shared" si="12"/>
        <v>329.63771643317943</v>
      </c>
      <c r="E185" s="95">
        <f t="shared" si="13"/>
        <v>238.15128491382302</v>
      </c>
      <c r="F185" s="95">
        <f t="shared" si="14"/>
        <v>71682.80502777988</v>
      </c>
    </row>
    <row r="186" spans="2:6" ht="12.75">
      <c r="B186" s="90">
        <f t="shared" si="10"/>
        <v>172</v>
      </c>
      <c r="C186" s="93">
        <f t="shared" si="11"/>
        <v>567.7890013470025</v>
      </c>
      <c r="D186" s="95">
        <f t="shared" si="12"/>
        <v>328.54618971065776</v>
      </c>
      <c r="E186" s="95">
        <f t="shared" si="13"/>
        <v>239.2428116363447</v>
      </c>
      <c r="F186" s="95">
        <f t="shared" si="14"/>
        <v>71443.56221614353</v>
      </c>
    </row>
    <row r="187" spans="2:6" ht="12.75">
      <c r="B187" s="90">
        <f t="shared" si="10"/>
        <v>173</v>
      </c>
      <c r="C187" s="93">
        <f t="shared" si="11"/>
        <v>567.7890013470025</v>
      </c>
      <c r="D187" s="95">
        <f t="shared" si="12"/>
        <v>327.4496601573245</v>
      </c>
      <c r="E187" s="95">
        <f t="shared" si="13"/>
        <v>240.33934118967795</v>
      </c>
      <c r="F187" s="95">
        <f t="shared" si="14"/>
        <v>71203.22287495385</v>
      </c>
    </row>
    <row r="188" spans="2:6" ht="12.75">
      <c r="B188" s="90">
        <f t="shared" si="10"/>
        <v>174</v>
      </c>
      <c r="C188" s="93">
        <f t="shared" si="11"/>
        <v>567.7890013470025</v>
      </c>
      <c r="D188" s="95">
        <f t="shared" si="12"/>
        <v>326.34810484353847</v>
      </c>
      <c r="E188" s="95">
        <f t="shared" si="13"/>
        <v>241.440896503464</v>
      </c>
      <c r="F188" s="95">
        <f t="shared" si="14"/>
        <v>70961.78197845038</v>
      </c>
    </row>
    <row r="189" spans="2:6" ht="12.75">
      <c r="B189" s="90">
        <f t="shared" si="10"/>
        <v>175</v>
      </c>
      <c r="C189" s="93">
        <f t="shared" si="11"/>
        <v>567.7890013470025</v>
      </c>
      <c r="D189" s="95">
        <f t="shared" si="12"/>
        <v>325.2415007345642</v>
      </c>
      <c r="E189" s="95">
        <f t="shared" si="13"/>
        <v>242.54750061243823</v>
      </c>
      <c r="F189" s="95">
        <f t="shared" si="14"/>
        <v>70719.23447783795</v>
      </c>
    </row>
    <row r="190" spans="2:6" ht="12.75">
      <c r="B190" s="90">
        <f t="shared" si="10"/>
        <v>176</v>
      </c>
      <c r="C190" s="93">
        <f t="shared" si="11"/>
        <v>567.7890013470025</v>
      </c>
      <c r="D190" s="95">
        <f t="shared" si="12"/>
        <v>324.1298246900906</v>
      </c>
      <c r="E190" s="95">
        <f t="shared" si="13"/>
        <v>243.65917665691188</v>
      </c>
      <c r="F190" s="95">
        <f t="shared" si="14"/>
        <v>70475.57530118103</v>
      </c>
    </row>
    <row r="191" spans="2:6" ht="12.75">
      <c r="B191" s="90">
        <f t="shared" si="10"/>
        <v>177</v>
      </c>
      <c r="C191" s="93">
        <f t="shared" si="11"/>
        <v>567.7890013470025</v>
      </c>
      <c r="D191" s="95">
        <f t="shared" si="12"/>
        <v>323.0130534637464</v>
      </c>
      <c r="E191" s="95">
        <f t="shared" si="13"/>
        <v>244.77594788325604</v>
      </c>
      <c r="F191" s="95">
        <f t="shared" si="14"/>
        <v>70230.79935329777</v>
      </c>
    </row>
    <row r="192" spans="2:6" ht="12.75">
      <c r="B192" s="90">
        <f t="shared" si="10"/>
        <v>178</v>
      </c>
      <c r="C192" s="93">
        <f t="shared" si="11"/>
        <v>567.7890013470025</v>
      </c>
      <c r="D192" s="95">
        <f t="shared" si="12"/>
        <v>321.8911637026148</v>
      </c>
      <c r="E192" s="95">
        <f t="shared" si="13"/>
        <v>245.89783764438766</v>
      </c>
      <c r="F192" s="95">
        <f t="shared" si="14"/>
        <v>69984.90151565339</v>
      </c>
    </row>
    <row r="193" spans="2:6" ht="12.75">
      <c r="B193" s="90">
        <f t="shared" si="10"/>
        <v>179</v>
      </c>
      <c r="C193" s="93">
        <f t="shared" si="11"/>
        <v>567.7890013470025</v>
      </c>
      <c r="D193" s="95">
        <f t="shared" si="12"/>
        <v>320.76413194674467</v>
      </c>
      <c r="E193" s="95">
        <f t="shared" si="13"/>
        <v>247.02486940025778</v>
      </c>
      <c r="F193" s="95">
        <f t="shared" si="14"/>
        <v>69737.87664625313</v>
      </c>
    </row>
    <row r="194" spans="2:6" ht="12.75">
      <c r="B194" s="90">
        <f t="shared" si="10"/>
        <v>180</v>
      </c>
      <c r="C194" s="93">
        <f t="shared" si="11"/>
        <v>567.7890013470025</v>
      </c>
      <c r="D194" s="95">
        <f t="shared" si="12"/>
        <v>319.6319346286602</v>
      </c>
      <c r="E194" s="95">
        <f t="shared" si="13"/>
        <v>248.15706671834226</v>
      </c>
      <c r="F194" s="95">
        <f t="shared" si="14"/>
        <v>69489.7195795348</v>
      </c>
    </row>
    <row r="195" spans="2:6" ht="12.75">
      <c r="B195" s="90">
        <f t="shared" si="10"/>
        <v>181</v>
      </c>
      <c r="C195" s="93">
        <f t="shared" si="11"/>
        <v>567.7890013470025</v>
      </c>
      <c r="D195" s="95">
        <f t="shared" si="12"/>
        <v>318.4945480728678</v>
      </c>
      <c r="E195" s="95">
        <f t="shared" si="13"/>
        <v>249.29445327413464</v>
      </c>
      <c r="F195" s="95">
        <f t="shared" si="14"/>
        <v>69240.42512626066</v>
      </c>
    </row>
    <row r="196" spans="2:6" ht="12.75">
      <c r="B196" s="90">
        <f t="shared" si="10"/>
        <v>182</v>
      </c>
      <c r="C196" s="93">
        <f t="shared" si="11"/>
        <v>567.7890013470025</v>
      </c>
      <c r="D196" s="95">
        <f t="shared" si="12"/>
        <v>317.35194849536134</v>
      </c>
      <c r="E196" s="95">
        <f t="shared" si="13"/>
        <v>250.4370528516411</v>
      </c>
      <c r="F196" s="95">
        <f t="shared" si="14"/>
        <v>68989.98807340901</v>
      </c>
    </row>
    <row r="197" spans="2:6" ht="12.75">
      <c r="B197" s="90">
        <f t="shared" si="10"/>
        <v>183</v>
      </c>
      <c r="C197" s="93">
        <f t="shared" si="11"/>
        <v>567.7890013470025</v>
      </c>
      <c r="D197" s="95">
        <f t="shared" si="12"/>
        <v>316.20411200312464</v>
      </c>
      <c r="E197" s="95">
        <f t="shared" si="13"/>
        <v>251.58488934387782</v>
      </c>
      <c r="F197" s="95">
        <f t="shared" si="14"/>
        <v>68738.40318406513</v>
      </c>
    </row>
    <row r="198" spans="2:6" ht="12.75">
      <c r="B198" s="90">
        <f t="shared" si="10"/>
        <v>184</v>
      </c>
      <c r="C198" s="93">
        <f t="shared" si="11"/>
        <v>567.7890013470025</v>
      </c>
      <c r="D198" s="95">
        <f t="shared" si="12"/>
        <v>315.05101459363186</v>
      </c>
      <c r="E198" s="95">
        <f t="shared" si="13"/>
        <v>252.7379867533706</v>
      </c>
      <c r="F198" s="95">
        <f t="shared" si="14"/>
        <v>68485.66519731176</v>
      </c>
    </row>
    <row r="199" spans="2:6" ht="12.75">
      <c r="B199" s="90">
        <f t="shared" si="10"/>
        <v>185</v>
      </c>
      <c r="C199" s="93">
        <f t="shared" si="11"/>
        <v>567.7890013470025</v>
      </c>
      <c r="D199" s="95">
        <f t="shared" si="12"/>
        <v>313.89263215434556</v>
      </c>
      <c r="E199" s="95">
        <f t="shared" si="13"/>
        <v>253.8963691926569</v>
      </c>
      <c r="F199" s="95">
        <f t="shared" si="14"/>
        <v>68231.7688281191</v>
      </c>
    </row>
    <row r="200" spans="2:6" ht="12.75">
      <c r="B200" s="90">
        <f t="shared" si="10"/>
        <v>186</v>
      </c>
      <c r="C200" s="93">
        <f t="shared" si="11"/>
        <v>567.7890013470025</v>
      </c>
      <c r="D200" s="95">
        <f t="shared" si="12"/>
        <v>312.7289404622125</v>
      </c>
      <c r="E200" s="95">
        <f t="shared" si="13"/>
        <v>255.06006088478995</v>
      </c>
      <c r="F200" s="95">
        <f t="shared" si="14"/>
        <v>67976.7087672343</v>
      </c>
    </row>
    <row r="201" spans="2:6" ht="12.75">
      <c r="B201" s="90">
        <f t="shared" si="10"/>
        <v>187</v>
      </c>
      <c r="C201" s="93">
        <f t="shared" si="11"/>
        <v>567.7890013470025</v>
      </c>
      <c r="D201" s="95">
        <f t="shared" si="12"/>
        <v>311.5599151831572</v>
      </c>
      <c r="E201" s="95">
        <f t="shared" si="13"/>
        <v>256.22908616384524</v>
      </c>
      <c r="F201" s="95">
        <f t="shared" si="14"/>
        <v>67720.47968107046</v>
      </c>
    </row>
    <row r="202" spans="2:6" ht="12.75">
      <c r="B202" s="90">
        <f t="shared" si="10"/>
        <v>188</v>
      </c>
      <c r="C202" s="93">
        <f t="shared" si="11"/>
        <v>567.7890013470025</v>
      </c>
      <c r="D202" s="95">
        <f t="shared" si="12"/>
        <v>310.38553187157294</v>
      </c>
      <c r="E202" s="95">
        <f t="shared" si="13"/>
        <v>257.4034694754295</v>
      </c>
      <c r="F202" s="95">
        <f t="shared" si="14"/>
        <v>67463.07621159503</v>
      </c>
    </row>
    <row r="203" spans="2:6" ht="12.75">
      <c r="B203" s="90">
        <f t="shared" si="10"/>
        <v>189</v>
      </c>
      <c r="C203" s="93">
        <f t="shared" si="11"/>
        <v>567.7890013470025</v>
      </c>
      <c r="D203" s="95">
        <f t="shared" si="12"/>
        <v>309.20576596981056</v>
      </c>
      <c r="E203" s="95">
        <f t="shared" si="13"/>
        <v>258.5832353771919</v>
      </c>
      <c r="F203" s="95">
        <f t="shared" si="14"/>
        <v>67204.49297621784</v>
      </c>
    </row>
    <row r="204" spans="2:6" ht="12.75">
      <c r="B204" s="90">
        <f t="shared" si="10"/>
        <v>190</v>
      </c>
      <c r="C204" s="93">
        <f t="shared" si="11"/>
        <v>567.7890013470025</v>
      </c>
      <c r="D204" s="95">
        <f t="shared" si="12"/>
        <v>308.0205928076651</v>
      </c>
      <c r="E204" s="95">
        <f t="shared" si="13"/>
        <v>259.7684085393374</v>
      </c>
      <c r="F204" s="95">
        <f t="shared" si="14"/>
        <v>66944.7245676785</v>
      </c>
    </row>
    <row r="205" spans="2:6" ht="12.75">
      <c r="B205" s="90">
        <f t="shared" si="10"/>
        <v>191</v>
      </c>
      <c r="C205" s="93">
        <f t="shared" si="11"/>
        <v>567.7890013470025</v>
      </c>
      <c r="D205" s="95">
        <f t="shared" si="12"/>
        <v>306.8299876018598</v>
      </c>
      <c r="E205" s="95">
        <f t="shared" si="13"/>
        <v>260.95901374514267</v>
      </c>
      <c r="F205" s="95">
        <f t="shared" si="14"/>
        <v>66683.76555393335</v>
      </c>
    </row>
    <row r="206" spans="2:6" ht="12.75">
      <c r="B206" s="90">
        <f t="shared" si="10"/>
        <v>192</v>
      </c>
      <c r="C206" s="93">
        <f t="shared" si="11"/>
        <v>567.7890013470025</v>
      </c>
      <c r="D206" s="95">
        <f t="shared" si="12"/>
        <v>305.63392545552784</v>
      </c>
      <c r="E206" s="95">
        <f t="shared" si="13"/>
        <v>262.1550758914746</v>
      </c>
      <c r="F206" s="95">
        <f t="shared" si="14"/>
        <v>66421.61047804187</v>
      </c>
    </row>
    <row r="207" spans="2:6" ht="12.75">
      <c r="B207" s="90">
        <f aca="true" t="shared" si="15" ref="B207:B270">1+B206</f>
        <v>193</v>
      </c>
      <c r="C207" s="93">
        <f aca="true" t="shared" si="16" ref="C207:C270">$C$10</f>
        <v>567.7890013470025</v>
      </c>
      <c r="D207" s="95">
        <f aca="true" t="shared" si="17" ref="D207:D270">F206*$C$7</f>
        <v>304.4323813576919</v>
      </c>
      <c r="E207" s="95">
        <f aca="true" t="shared" si="18" ref="E207:E270">C207-D207</f>
        <v>263.35661998931056</v>
      </c>
      <c r="F207" s="95">
        <f aca="true" t="shared" si="19" ref="F207:F270">F206-E207</f>
        <v>66158.25385805256</v>
      </c>
    </row>
    <row r="208" spans="2:6" ht="12.75">
      <c r="B208" s="90">
        <f t="shared" si="15"/>
        <v>194</v>
      </c>
      <c r="C208" s="93">
        <f t="shared" si="16"/>
        <v>567.7890013470025</v>
      </c>
      <c r="D208" s="95">
        <f t="shared" si="17"/>
        <v>303.2253301827409</v>
      </c>
      <c r="E208" s="95">
        <f t="shared" si="18"/>
        <v>264.56367116426156</v>
      </c>
      <c r="F208" s="95">
        <f t="shared" si="19"/>
        <v>65893.6901868883</v>
      </c>
    </row>
    <row r="209" spans="2:6" ht="12.75">
      <c r="B209" s="90">
        <f t="shared" si="15"/>
        <v>195</v>
      </c>
      <c r="C209" s="93">
        <f t="shared" si="16"/>
        <v>567.7890013470025</v>
      </c>
      <c r="D209" s="95">
        <f t="shared" si="17"/>
        <v>302.0127466899047</v>
      </c>
      <c r="E209" s="95">
        <f t="shared" si="18"/>
        <v>265.77625465709775</v>
      </c>
      <c r="F209" s="95">
        <f t="shared" si="19"/>
        <v>65627.9139322312</v>
      </c>
    </row>
    <row r="210" spans="2:6" ht="12.75">
      <c r="B210" s="90">
        <f t="shared" si="15"/>
        <v>196</v>
      </c>
      <c r="C210" s="93">
        <f t="shared" si="16"/>
        <v>567.7890013470025</v>
      </c>
      <c r="D210" s="95">
        <f t="shared" si="17"/>
        <v>300.79460552272633</v>
      </c>
      <c r="E210" s="95">
        <f t="shared" si="18"/>
        <v>266.9943958242761</v>
      </c>
      <c r="F210" s="95">
        <f t="shared" si="19"/>
        <v>65360.919536406924</v>
      </c>
    </row>
    <row r="211" spans="2:6" ht="12.75">
      <c r="B211" s="90">
        <f t="shared" si="15"/>
        <v>197</v>
      </c>
      <c r="C211" s="93">
        <f t="shared" si="16"/>
        <v>567.7890013470025</v>
      </c>
      <c r="D211" s="95">
        <f t="shared" si="17"/>
        <v>299.5708812085317</v>
      </c>
      <c r="E211" s="95">
        <f t="shared" si="18"/>
        <v>268.21812013847074</v>
      </c>
      <c r="F211" s="95">
        <f t="shared" si="19"/>
        <v>65092.70141626845</v>
      </c>
    </row>
    <row r="212" spans="2:6" ht="12.75">
      <c r="B212" s="90">
        <f t="shared" si="15"/>
        <v>198</v>
      </c>
      <c r="C212" s="93">
        <f t="shared" si="16"/>
        <v>567.7890013470025</v>
      </c>
      <c r="D212" s="95">
        <f t="shared" si="17"/>
        <v>298.3415481578971</v>
      </c>
      <c r="E212" s="95">
        <f t="shared" si="18"/>
        <v>269.4474531891054</v>
      </c>
      <c r="F212" s="95">
        <f t="shared" si="19"/>
        <v>64823.25396307935</v>
      </c>
    </row>
    <row r="213" spans="2:6" ht="12.75">
      <c r="B213" s="90">
        <f t="shared" si="15"/>
        <v>199</v>
      </c>
      <c r="C213" s="93">
        <f t="shared" si="16"/>
        <v>567.7890013470025</v>
      </c>
      <c r="D213" s="95">
        <f t="shared" si="17"/>
        <v>297.10658066411366</v>
      </c>
      <c r="E213" s="95">
        <f t="shared" si="18"/>
        <v>270.6824206828888</v>
      </c>
      <c r="F213" s="95">
        <f t="shared" si="19"/>
        <v>64552.57154239646</v>
      </c>
    </row>
    <row r="214" spans="2:6" ht="12.75">
      <c r="B214" s="90">
        <f t="shared" si="15"/>
        <v>200</v>
      </c>
      <c r="C214" s="93">
        <f t="shared" si="16"/>
        <v>567.7890013470025</v>
      </c>
      <c r="D214" s="95">
        <f t="shared" si="17"/>
        <v>295.8659529026504</v>
      </c>
      <c r="E214" s="95">
        <f t="shared" si="18"/>
        <v>271.92304844435205</v>
      </c>
      <c r="F214" s="95">
        <f t="shared" si="19"/>
        <v>64280.6484939521</v>
      </c>
    </row>
    <row r="215" spans="2:6" ht="12.75">
      <c r="B215" s="90">
        <f t="shared" si="15"/>
        <v>201</v>
      </c>
      <c r="C215" s="93">
        <f t="shared" si="16"/>
        <v>567.7890013470025</v>
      </c>
      <c r="D215" s="95">
        <f t="shared" si="17"/>
        <v>294.6196389306138</v>
      </c>
      <c r="E215" s="95">
        <f t="shared" si="18"/>
        <v>273.16936241638865</v>
      </c>
      <c r="F215" s="95">
        <f t="shared" si="19"/>
        <v>64007.479131535714</v>
      </c>
    </row>
    <row r="216" spans="2:6" ht="12.75">
      <c r="B216" s="90">
        <f t="shared" si="15"/>
        <v>202</v>
      </c>
      <c r="C216" s="93">
        <f t="shared" si="16"/>
        <v>567.7890013470025</v>
      </c>
      <c r="D216" s="95">
        <f t="shared" si="17"/>
        <v>293.36761268620535</v>
      </c>
      <c r="E216" s="95">
        <f t="shared" si="18"/>
        <v>274.4213886607971</v>
      </c>
      <c r="F216" s="95">
        <f t="shared" si="19"/>
        <v>63733.05774287492</v>
      </c>
    </row>
    <row r="217" spans="2:6" ht="12.75">
      <c r="B217" s="90">
        <f t="shared" si="15"/>
        <v>203</v>
      </c>
      <c r="C217" s="93">
        <f t="shared" si="16"/>
        <v>567.7890013470025</v>
      </c>
      <c r="D217" s="95">
        <f t="shared" si="17"/>
        <v>292.1098479881767</v>
      </c>
      <c r="E217" s="95">
        <f t="shared" si="18"/>
        <v>275.6791533588258</v>
      </c>
      <c r="F217" s="95">
        <f t="shared" si="19"/>
        <v>63457.37858951609</v>
      </c>
    </row>
    <row r="218" spans="2:6" ht="12.75">
      <c r="B218" s="90">
        <f t="shared" si="15"/>
        <v>204</v>
      </c>
      <c r="C218" s="93">
        <f t="shared" si="16"/>
        <v>567.7890013470025</v>
      </c>
      <c r="D218" s="95">
        <f t="shared" si="17"/>
        <v>290.8463185352821</v>
      </c>
      <c r="E218" s="95">
        <f t="shared" si="18"/>
        <v>276.9426828117204</v>
      </c>
      <c r="F218" s="95">
        <f t="shared" si="19"/>
        <v>63180.43590670437</v>
      </c>
    </row>
    <row r="219" spans="2:6" ht="12.75">
      <c r="B219" s="90">
        <f t="shared" si="15"/>
        <v>205</v>
      </c>
      <c r="C219" s="93">
        <f t="shared" si="16"/>
        <v>567.7890013470025</v>
      </c>
      <c r="D219" s="95">
        <f t="shared" si="17"/>
        <v>289.5769979057284</v>
      </c>
      <c r="E219" s="95">
        <f t="shared" si="18"/>
        <v>278.2120034412741</v>
      </c>
      <c r="F219" s="95">
        <f t="shared" si="19"/>
        <v>62902.2239032631</v>
      </c>
    </row>
    <row r="220" spans="2:6" ht="12.75">
      <c r="B220" s="90">
        <f t="shared" si="15"/>
        <v>206</v>
      </c>
      <c r="C220" s="93">
        <f t="shared" si="16"/>
        <v>567.7890013470025</v>
      </c>
      <c r="D220" s="95">
        <f t="shared" si="17"/>
        <v>288.3018595566225</v>
      </c>
      <c r="E220" s="95">
        <f t="shared" si="18"/>
        <v>279.48714179037995</v>
      </c>
      <c r="F220" s="95">
        <f t="shared" si="19"/>
        <v>62622.73676147272</v>
      </c>
    </row>
    <row r="221" spans="2:6" ht="12.75">
      <c r="B221" s="90">
        <f t="shared" si="15"/>
        <v>207</v>
      </c>
      <c r="C221" s="93">
        <f t="shared" si="16"/>
        <v>567.7890013470025</v>
      </c>
      <c r="D221" s="95">
        <f t="shared" si="17"/>
        <v>287.02087682341664</v>
      </c>
      <c r="E221" s="95">
        <f t="shared" si="18"/>
        <v>280.7681245235858</v>
      </c>
      <c r="F221" s="95">
        <f t="shared" si="19"/>
        <v>62341.96863694913</v>
      </c>
    </row>
    <row r="222" spans="2:6" ht="12.75">
      <c r="B222" s="90">
        <f t="shared" si="15"/>
        <v>208</v>
      </c>
      <c r="C222" s="93">
        <f t="shared" si="16"/>
        <v>567.7890013470025</v>
      </c>
      <c r="D222" s="95">
        <f t="shared" si="17"/>
        <v>285.7340229193502</v>
      </c>
      <c r="E222" s="95">
        <f t="shared" si="18"/>
        <v>282.05497842765226</v>
      </c>
      <c r="F222" s="95">
        <f t="shared" si="19"/>
        <v>62059.91365852148</v>
      </c>
    </row>
    <row r="223" spans="2:6" ht="12.75">
      <c r="B223" s="90">
        <f t="shared" si="15"/>
        <v>209</v>
      </c>
      <c r="C223" s="93">
        <f t="shared" si="16"/>
        <v>567.7890013470025</v>
      </c>
      <c r="D223" s="95">
        <f t="shared" si="17"/>
        <v>284.4412709348901</v>
      </c>
      <c r="E223" s="95">
        <f t="shared" si="18"/>
        <v>283.34773041211236</v>
      </c>
      <c r="F223" s="95">
        <f t="shared" si="19"/>
        <v>61776.56592810937</v>
      </c>
    </row>
    <row r="224" spans="2:6" ht="12.75">
      <c r="B224" s="90">
        <f t="shared" si="15"/>
        <v>210</v>
      </c>
      <c r="C224" s="93">
        <f t="shared" si="16"/>
        <v>567.7890013470025</v>
      </c>
      <c r="D224" s="95">
        <f t="shared" si="17"/>
        <v>283.14259383716796</v>
      </c>
      <c r="E224" s="95">
        <f t="shared" si="18"/>
        <v>284.6464075098345</v>
      </c>
      <c r="F224" s="95">
        <f t="shared" si="19"/>
        <v>61491.919520599535</v>
      </c>
    </row>
    <row r="225" spans="2:6" ht="12.75">
      <c r="B225" s="90">
        <f t="shared" si="15"/>
        <v>211</v>
      </c>
      <c r="C225" s="93">
        <f t="shared" si="16"/>
        <v>567.7890013470025</v>
      </c>
      <c r="D225" s="95">
        <f t="shared" si="17"/>
        <v>281.83796446941454</v>
      </c>
      <c r="E225" s="95">
        <f t="shared" si="18"/>
        <v>285.9510368775879</v>
      </c>
      <c r="F225" s="95">
        <f t="shared" si="19"/>
        <v>61205.96848372195</v>
      </c>
    </row>
    <row r="226" spans="2:6" ht="12.75">
      <c r="B226" s="90">
        <f t="shared" si="15"/>
        <v>212</v>
      </c>
      <c r="C226" s="93">
        <f t="shared" si="16"/>
        <v>567.7890013470025</v>
      </c>
      <c r="D226" s="95">
        <f t="shared" si="17"/>
        <v>280.52735555039226</v>
      </c>
      <c r="E226" s="95">
        <f t="shared" si="18"/>
        <v>287.2616457966102</v>
      </c>
      <c r="F226" s="95">
        <f t="shared" si="19"/>
        <v>60918.70683792534</v>
      </c>
    </row>
    <row r="227" spans="2:6" ht="12.75">
      <c r="B227" s="90">
        <f t="shared" si="15"/>
        <v>213</v>
      </c>
      <c r="C227" s="93">
        <f t="shared" si="16"/>
        <v>567.7890013470025</v>
      </c>
      <c r="D227" s="95">
        <f t="shared" si="17"/>
        <v>279.2107396738245</v>
      </c>
      <c r="E227" s="95">
        <f t="shared" si="18"/>
        <v>288.57826167317796</v>
      </c>
      <c r="F227" s="95">
        <f t="shared" si="19"/>
        <v>60630.12857625216</v>
      </c>
    </row>
    <row r="228" spans="2:6" ht="12.75">
      <c r="B228" s="90">
        <f t="shared" si="15"/>
        <v>214</v>
      </c>
      <c r="C228" s="93">
        <f t="shared" si="16"/>
        <v>567.7890013470025</v>
      </c>
      <c r="D228" s="95">
        <f t="shared" si="17"/>
        <v>277.8880893078224</v>
      </c>
      <c r="E228" s="95">
        <f t="shared" si="18"/>
        <v>289.90091203918007</v>
      </c>
      <c r="F228" s="95">
        <f t="shared" si="19"/>
        <v>60340.22766421298</v>
      </c>
    </row>
    <row r="229" spans="2:6" ht="12.75">
      <c r="B229" s="90">
        <f t="shared" si="15"/>
        <v>215</v>
      </c>
      <c r="C229" s="93">
        <f t="shared" si="16"/>
        <v>567.7890013470025</v>
      </c>
      <c r="D229" s="95">
        <f t="shared" si="17"/>
        <v>276.5593767943095</v>
      </c>
      <c r="E229" s="95">
        <f t="shared" si="18"/>
        <v>291.22962455269294</v>
      </c>
      <c r="F229" s="95">
        <f t="shared" si="19"/>
        <v>60048.998039660284</v>
      </c>
    </row>
    <row r="230" spans="2:6" ht="12.75">
      <c r="B230" s="90">
        <f t="shared" si="15"/>
        <v>216</v>
      </c>
      <c r="C230" s="93">
        <f t="shared" si="16"/>
        <v>567.7890013470025</v>
      </c>
      <c r="D230" s="95">
        <f t="shared" si="17"/>
        <v>275.22457434844296</v>
      </c>
      <c r="E230" s="95">
        <f t="shared" si="18"/>
        <v>292.5644269985595</v>
      </c>
      <c r="F230" s="95">
        <f t="shared" si="19"/>
        <v>59756.43361266173</v>
      </c>
    </row>
    <row r="231" spans="2:6" ht="12.75">
      <c r="B231" s="90">
        <f t="shared" si="15"/>
        <v>217</v>
      </c>
      <c r="C231" s="93">
        <f t="shared" si="16"/>
        <v>567.7890013470025</v>
      </c>
      <c r="D231" s="95">
        <f t="shared" si="17"/>
        <v>273.8836540580329</v>
      </c>
      <c r="E231" s="95">
        <f t="shared" si="18"/>
        <v>293.90534728896955</v>
      </c>
      <c r="F231" s="95">
        <f t="shared" si="19"/>
        <v>59462.528265372755</v>
      </c>
    </row>
    <row r="232" spans="2:6" ht="12.75">
      <c r="B232" s="90">
        <f t="shared" si="15"/>
        <v>218</v>
      </c>
      <c r="C232" s="93">
        <f t="shared" si="16"/>
        <v>567.7890013470025</v>
      </c>
      <c r="D232" s="95">
        <f t="shared" si="17"/>
        <v>272.5365878829585</v>
      </c>
      <c r="E232" s="95">
        <f t="shared" si="18"/>
        <v>295.25241346404397</v>
      </c>
      <c r="F232" s="95">
        <f t="shared" si="19"/>
        <v>59167.275851908715</v>
      </c>
    </row>
    <row r="233" spans="2:6" ht="12.75">
      <c r="B233" s="90">
        <f t="shared" si="15"/>
        <v>219</v>
      </c>
      <c r="C233" s="93">
        <f t="shared" si="16"/>
        <v>567.7890013470025</v>
      </c>
      <c r="D233" s="95">
        <f t="shared" si="17"/>
        <v>271.1833476545816</v>
      </c>
      <c r="E233" s="95">
        <f t="shared" si="18"/>
        <v>296.60565369242084</v>
      </c>
      <c r="F233" s="95">
        <f t="shared" si="19"/>
        <v>58870.67019821629</v>
      </c>
    </row>
    <row r="234" spans="2:6" ht="12.75">
      <c r="B234" s="90">
        <f t="shared" si="15"/>
        <v>220</v>
      </c>
      <c r="C234" s="93">
        <f t="shared" si="16"/>
        <v>567.7890013470025</v>
      </c>
      <c r="D234" s="95">
        <f t="shared" si="17"/>
        <v>269.823905075158</v>
      </c>
      <c r="E234" s="95">
        <f t="shared" si="18"/>
        <v>297.96509627184446</v>
      </c>
      <c r="F234" s="95">
        <f t="shared" si="19"/>
        <v>58572.70510194445</v>
      </c>
    </row>
    <row r="235" spans="2:6" ht="12.75">
      <c r="B235" s="90">
        <f t="shared" si="15"/>
        <v>221</v>
      </c>
      <c r="C235" s="93">
        <f t="shared" si="16"/>
        <v>567.7890013470025</v>
      </c>
      <c r="D235" s="95">
        <f t="shared" si="17"/>
        <v>268.4582317172454</v>
      </c>
      <c r="E235" s="95">
        <f t="shared" si="18"/>
        <v>299.33076962975707</v>
      </c>
      <c r="F235" s="95">
        <f t="shared" si="19"/>
        <v>58273.37433231469</v>
      </c>
    </row>
    <row r="236" spans="2:6" ht="12.75">
      <c r="B236" s="90">
        <f t="shared" si="15"/>
        <v>222</v>
      </c>
      <c r="C236" s="93">
        <f t="shared" si="16"/>
        <v>567.7890013470025</v>
      </c>
      <c r="D236" s="95">
        <f t="shared" si="17"/>
        <v>267.086299023109</v>
      </c>
      <c r="E236" s="95">
        <f t="shared" si="18"/>
        <v>300.70270232389345</v>
      </c>
      <c r="F236" s="95">
        <f t="shared" si="19"/>
        <v>57972.6716299908</v>
      </c>
    </row>
    <row r="237" spans="2:6" ht="12.75">
      <c r="B237" s="90">
        <f t="shared" si="15"/>
        <v>223</v>
      </c>
      <c r="C237" s="93">
        <f t="shared" si="16"/>
        <v>567.7890013470025</v>
      </c>
      <c r="D237" s="95">
        <f t="shared" si="17"/>
        <v>265.7080783041245</v>
      </c>
      <c r="E237" s="95">
        <f t="shared" si="18"/>
        <v>302.08092304287794</v>
      </c>
      <c r="F237" s="95">
        <f t="shared" si="19"/>
        <v>57670.59070694792</v>
      </c>
    </row>
    <row r="238" spans="2:6" ht="12.75">
      <c r="B238" s="90">
        <f t="shared" si="15"/>
        <v>224</v>
      </c>
      <c r="C238" s="93">
        <f t="shared" si="16"/>
        <v>567.7890013470025</v>
      </c>
      <c r="D238" s="95">
        <f t="shared" si="17"/>
        <v>264.323540740178</v>
      </c>
      <c r="E238" s="95">
        <f t="shared" si="18"/>
        <v>303.4654606068245</v>
      </c>
      <c r="F238" s="95">
        <f t="shared" si="19"/>
        <v>57367.1252463411</v>
      </c>
    </row>
    <row r="239" spans="2:6" ht="12.75">
      <c r="B239" s="90">
        <f t="shared" si="15"/>
        <v>225</v>
      </c>
      <c r="C239" s="93">
        <f t="shared" si="16"/>
        <v>567.7890013470025</v>
      </c>
      <c r="D239" s="95">
        <f t="shared" si="17"/>
        <v>262.93265737906336</v>
      </c>
      <c r="E239" s="95">
        <f t="shared" si="18"/>
        <v>304.8563439679391</v>
      </c>
      <c r="F239" s="95">
        <f t="shared" si="19"/>
        <v>57062.26890237316</v>
      </c>
    </row>
    <row r="240" spans="2:6" ht="12.75">
      <c r="B240" s="90">
        <f t="shared" si="15"/>
        <v>226</v>
      </c>
      <c r="C240" s="93">
        <f t="shared" si="16"/>
        <v>567.7890013470025</v>
      </c>
      <c r="D240" s="95">
        <f t="shared" si="17"/>
        <v>261.53539913587696</v>
      </c>
      <c r="E240" s="95">
        <f t="shared" si="18"/>
        <v>306.2536022111255</v>
      </c>
      <c r="F240" s="95">
        <f t="shared" si="19"/>
        <v>56756.015300162035</v>
      </c>
    </row>
    <row r="241" spans="2:6" ht="12.75">
      <c r="B241" s="90">
        <f t="shared" si="15"/>
        <v>227</v>
      </c>
      <c r="C241" s="93">
        <f t="shared" si="16"/>
        <v>567.7890013470025</v>
      </c>
      <c r="D241" s="95">
        <f t="shared" si="17"/>
        <v>260.1317367924093</v>
      </c>
      <c r="E241" s="95">
        <f t="shared" si="18"/>
        <v>307.65726455459316</v>
      </c>
      <c r="F241" s="95">
        <f t="shared" si="19"/>
        <v>56448.35803560744</v>
      </c>
    </row>
    <row r="242" spans="2:6" ht="12.75">
      <c r="B242" s="90">
        <f t="shared" si="15"/>
        <v>228</v>
      </c>
      <c r="C242" s="93">
        <f t="shared" si="16"/>
        <v>567.7890013470025</v>
      </c>
      <c r="D242" s="95">
        <f t="shared" si="17"/>
        <v>258.7216409965341</v>
      </c>
      <c r="E242" s="95">
        <f t="shared" si="18"/>
        <v>309.06736035046833</v>
      </c>
      <c r="F242" s="95">
        <f t="shared" si="19"/>
        <v>56139.29067525697</v>
      </c>
    </row>
    <row r="243" spans="2:6" ht="12.75">
      <c r="B243" s="90">
        <f t="shared" si="15"/>
        <v>229</v>
      </c>
      <c r="C243" s="93">
        <f t="shared" si="16"/>
        <v>567.7890013470025</v>
      </c>
      <c r="D243" s="95">
        <f t="shared" si="17"/>
        <v>257.30508226159446</v>
      </c>
      <c r="E243" s="95">
        <f t="shared" si="18"/>
        <v>310.483919085408</v>
      </c>
      <c r="F243" s="95">
        <f t="shared" si="19"/>
        <v>55828.80675617156</v>
      </c>
    </row>
    <row r="244" spans="2:6" ht="12.75">
      <c r="B244" s="90">
        <f t="shared" si="15"/>
        <v>230</v>
      </c>
      <c r="C244" s="93">
        <f t="shared" si="16"/>
        <v>567.7890013470025</v>
      </c>
      <c r="D244" s="95">
        <f t="shared" si="17"/>
        <v>255.8820309657863</v>
      </c>
      <c r="E244" s="95">
        <f t="shared" si="18"/>
        <v>311.9069703812162</v>
      </c>
      <c r="F244" s="95">
        <f t="shared" si="19"/>
        <v>55516.899785790345</v>
      </c>
    </row>
    <row r="245" spans="2:6" ht="12.75">
      <c r="B245" s="90">
        <f t="shared" si="15"/>
        <v>231</v>
      </c>
      <c r="C245" s="93">
        <f t="shared" si="16"/>
        <v>567.7890013470025</v>
      </c>
      <c r="D245" s="95">
        <f t="shared" si="17"/>
        <v>254.4524573515391</v>
      </c>
      <c r="E245" s="95">
        <f t="shared" si="18"/>
        <v>313.33654399546333</v>
      </c>
      <c r="F245" s="95">
        <f t="shared" si="19"/>
        <v>55203.56324179488</v>
      </c>
    </row>
    <row r="246" spans="2:6" ht="12.75">
      <c r="B246" s="90">
        <f t="shared" si="15"/>
        <v>232</v>
      </c>
      <c r="C246" s="93">
        <f t="shared" si="16"/>
        <v>567.7890013470025</v>
      </c>
      <c r="D246" s="95">
        <f t="shared" si="17"/>
        <v>253.0163315248932</v>
      </c>
      <c r="E246" s="95">
        <f t="shared" si="18"/>
        <v>314.77266982210926</v>
      </c>
      <c r="F246" s="95">
        <f t="shared" si="19"/>
        <v>54888.79057197277</v>
      </c>
    </row>
    <row r="247" spans="2:6" ht="12.75">
      <c r="B247" s="90">
        <f t="shared" si="15"/>
        <v>233</v>
      </c>
      <c r="C247" s="93">
        <f t="shared" si="16"/>
        <v>567.7890013470025</v>
      </c>
      <c r="D247" s="95">
        <f t="shared" si="17"/>
        <v>251.5736234548752</v>
      </c>
      <c r="E247" s="95">
        <f t="shared" si="18"/>
        <v>316.21537789212726</v>
      </c>
      <c r="F247" s="95">
        <f t="shared" si="19"/>
        <v>54572.575194080644</v>
      </c>
    </row>
    <row r="248" spans="2:6" ht="12.75">
      <c r="B248" s="90">
        <f t="shared" si="15"/>
        <v>234</v>
      </c>
      <c r="C248" s="93">
        <f t="shared" si="16"/>
        <v>567.7890013470025</v>
      </c>
      <c r="D248" s="95">
        <f t="shared" si="17"/>
        <v>250.12430297286963</v>
      </c>
      <c r="E248" s="95">
        <f t="shared" si="18"/>
        <v>317.66469837413285</v>
      </c>
      <c r="F248" s="95">
        <f t="shared" si="19"/>
        <v>54254.910495706514</v>
      </c>
    </row>
    <row r="249" spans="2:6" ht="12.75">
      <c r="B249" s="90">
        <f t="shared" si="15"/>
        <v>235</v>
      </c>
      <c r="C249" s="93">
        <f t="shared" si="16"/>
        <v>567.7890013470025</v>
      </c>
      <c r="D249" s="95">
        <f t="shared" si="17"/>
        <v>248.6683397719882</v>
      </c>
      <c r="E249" s="95">
        <f t="shared" si="18"/>
        <v>319.12066157501425</v>
      </c>
      <c r="F249" s="95">
        <f t="shared" si="19"/>
        <v>53935.7898341315</v>
      </c>
    </row>
    <row r="250" spans="2:6" ht="12.75">
      <c r="B250" s="90">
        <f t="shared" si="15"/>
        <v>236</v>
      </c>
      <c r="C250" s="93">
        <f t="shared" si="16"/>
        <v>567.7890013470025</v>
      </c>
      <c r="D250" s="95">
        <f t="shared" si="17"/>
        <v>247.20570340643604</v>
      </c>
      <c r="E250" s="95">
        <f t="shared" si="18"/>
        <v>320.5832979405664</v>
      </c>
      <c r="F250" s="95">
        <f t="shared" si="19"/>
        <v>53615.20653619093</v>
      </c>
    </row>
    <row r="251" spans="2:6" ht="12.75">
      <c r="B251" s="90">
        <f t="shared" si="15"/>
        <v>237</v>
      </c>
      <c r="C251" s="93">
        <f t="shared" si="16"/>
        <v>567.7890013470025</v>
      </c>
      <c r="D251" s="95">
        <f t="shared" si="17"/>
        <v>245.73636329087512</v>
      </c>
      <c r="E251" s="95">
        <f t="shared" si="18"/>
        <v>322.0526380561273</v>
      </c>
      <c r="F251" s="95">
        <f t="shared" si="19"/>
        <v>53293.153898134806</v>
      </c>
    </row>
    <row r="252" spans="2:6" ht="12.75">
      <c r="B252" s="90">
        <f t="shared" si="15"/>
        <v>238</v>
      </c>
      <c r="C252" s="93">
        <f t="shared" si="16"/>
        <v>567.7890013470025</v>
      </c>
      <c r="D252" s="95">
        <f t="shared" si="17"/>
        <v>244.26028869978452</v>
      </c>
      <c r="E252" s="95">
        <f t="shared" si="18"/>
        <v>323.52871264721796</v>
      </c>
      <c r="F252" s="95">
        <f t="shared" si="19"/>
        <v>52969.62518548759</v>
      </c>
    </row>
    <row r="253" spans="2:6" ht="12.75">
      <c r="B253" s="90">
        <f t="shared" si="15"/>
        <v>239</v>
      </c>
      <c r="C253" s="93">
        <f t="shared" si="16"/>
        <v>567.7890013470025</v>
      </c>
      <c r="D253" s="95">
        <f t="shared" si="17"/>
        <v>242.7774487668181</v>
      </c>
      <c r="E253" s="95">
        <f t="shared" si="18"/>
        <v>325.01155258018434</v>
      </c>
      <c r="F253" s="95">
        <f t="shared" si="19"/>
        <v>52644.61363290741</v>
      </c>
    </row>
    <row r="254" spans="2:6" ht="12.75">
      <c r="B254" s="90">
        <f t="shared" si="15"/>
        <v>240</v>
      </c>
      <c r="C254" s="93">
        <f t="shared" si="16"/>
        <v>567.7890013470025</v>
      </c>
      <c r="D254" s="95">
        <f t="shared" si="17"/>
        <v>241.28781248415896</v>
      </c>
      <c r="E254" s="95">
        <f t="shared" si="18"/>
        <v>326.5011888628435</v>
      </c>
      <c r="F254" s="95">
        <f t="shared" si="19"/>
        <v>52318.112444044564</v>
      </c>
    </row>
    <row r="255" spans="2:6" ht="12.75">
      <c r="B255" s="90">
        <f t="shared" si="15"/>
        <v>241</v>
      </c>
      <c r="C255" s="93">
        <f t="shared" si="16"/>
        <v>567.7890013470025</v>
      </c>
      <c r="D255" s="95">
        <f t="shared" si="17"/>
        <v>239.79134870187093</v>
      </c>
      <c r="E255" s="95">
        <f t="shared" si="18"/>
        <v>327.99765264513155</v>
      </c>
      <c r="F255" s="95">
        <f t="shared" si="19"/>
        <v>51990.114791399435</v>
      </c>
    </row>
    <row r="256" spans="2:6" ht="12.75">
      <c r="B256" s="90">
        <f t="shared" si="15"/>
        <v>242</v>
      </c>
      <c r="C256" s="93">
        <f t="shared" si="16"/>
        <v>567.7890013470025</v>
      </c>
      <c r="D256" s="95">
        <f t="shared" si="17"/>
        <v>238.2880261272474</v>
      </c>
      <c r="E256" s="95">
        <f t="shared" si="18"/>
        <v>329.50097521975505</v>
      </c>
      <c r="F256" s="95">
        <f t="shared" si="19"/>
        <v>51660.61381617968</v>
      </c>
    </row>
    <row r="257" spans="2:6" ht="12.75">
      <c r="B257" s="90">
        <f t="shared" si="15"/>
        <v>243</v>
      </c>
      <c r="C257" s="93">
        <f t="shared" si="16"/>
        <v>567.7890013470025</v>
      </c>
      <c r="D257" s="95">
        <f t="shared" si="17"/>
        <v>236.77781332415685</v>
      </c>
      <c r="E257" s="95">
        <f t="shared" si="18"/>
        <v>331.0111880228456</v>
      </c>
      <c r="F257" s="95">
        <f t="shared" si="19"/>
        <v>51329.602628156834</v>
      </c>
    </row>
    <row r="258" spans="2:6" ht="12.75">
      <c r="B258" s="90">
        <f t="shared" si="15"/>
        <v>244</v>
      </c>
      <c r="C258" s="93">
        <f t="shared" si="16"/>
        <v>567.7890013470025</v>
      </c>
      <c r="D258" s="95">
        <f t="shared" si="17"/>
        <v>235.2606787123855</v>
      </c>
      <c r="E258" s="95">
        <f t="shared" si="18"/>
        <v>332.528322634617</v>
      </c>
      <c r="F258" s="95">
        <f t="shared" si="19"/>
        <v>50997.07430552222</v>
      </c>
    </row>
    <row r="259" spans="2:6" ht="12.75">
      <c r="B259" s="90">
        <f t="shared" si="15"/>
        <v>245</v>
      </c>
      <c r="C259" s="93">
        <f t="shared" si="16"/>
        <v>567.7890013470025</v>
      </c>
      <c r="D259" s="95">
        <f t="shared" si="17"/>
        <v>233.73659056697684</v>
      </c>
      <c r="E259" s="95">
        <f t="shared" si="18"/>
        <v>334.05241078002564</v>
      </c>
      <c r="F259" s="95">
        <f t="shared" si="19"/>
        <v>50663.021894742196</v>
      </c>
    </row>
    <row r="260" spans="2:6" ht="12.75">
      <c r="B260" s="90">
        <f t="shared" si="15"/>
        <v>246</v>
      </c>
      <c r="C260" s="93">
        <f t="shared" si="16"/>
        <v>567.7890013470025</v>
      </c>
      <c r="D260" s="95">
        <f t="shared" si="17"/>
        <v>232.2055170175684</v>
      </c>
      <c r="E260" s="95">
        <f t="shared" si="18"/>
        <v>335.58348432943404</v>
      </c>
      <c r="F260" s="95">
        <f t="shared" si="19"/>
        <v>50327.43841041276</v>
      </c>
    </row>
    <row r="261" spans="2:6" ht="12.75">
      <c r="B261" s="90">
        <f t="shared" si="15"/>
        <v>247</v>
      </c>
      <c r="C261" s="93">
        <f t="shared" si="16"/>
        <v>567.7890013470025</v>
      </c>
      <c r="D261" s="95">
        <f t="shared" si="17"/>
        <v>230.66742604772514</v>
      </c>
      <c r="E261" s="95">
        <f t="shared" si="18"/>
        <v>337.1215752992773</v>
      </c>
      <c r="F261" s="95">
        <f t="shared" si="19"/>
        <v>49990.31683511348</v>
      </c>
    </row>
    <row r="262" spans="2:6" ht="12.75">
      <c r="B262" s="90">
        <f t="shared" si="15"/>
        <v>248</v>
      </c>
      <c r="C262" s="93">
        <f t="shared" si="16"/>
        <v>567.7890013470025</v>
      </c>
      <c r="D262" s="95">
        <f t="shared" si="17"/>
        <v>229.12228549427013</v>
      </c>
      <c r="E262" s="95">
        <f t="shared" si="18"/>
        <v>338.6667158527323</v>
      </c>
      <c r="F262" s="95">
        <f t="shared" si="19"/>
        <v>49651.65011926075</v>
      </c>
    </row>
    <row r="263" spans="2:6" ht="12.75">
      <c r="B263" s="90">
        <f t="shared" si="15"/>
        <v>249</v>
      </c>
      <c r="C263" s="93">
        <f t="shared" si="16"/>
        <v>567.7890013470025</v>
      </c>
      <c r="D263" s="95">
        <f t="shared" si="17"/>
        <v>227.57006304661175</v>
      </c>
      <c r="E263" s="95">
        <f t="shared" si="18"/>
        <v>340.21893830039073</v>
      </c>
      <c r="F263" s="95">
        <f t="shared" si="19"/>
        <v>49311.43118096035</v>
      </c>
    </row>
    <row r="264" spans="2:6" ht="12.75">
      <c r="B264" s="90">
        <f t="shared" si="15"/>
        <v>250</v>
      </c>
      <c r="C264" s="93">
        <f t="shared" si="16"/>
        <v>567.7890013470025</v>
      </c>
      <c r="D264" s="95">
        <f t="shared" si="17"/>
        <v>226.0107262460683</v>
      </c>
      <c r="E264" s="95">
        <f t="shared" si="18"/>
        <v>341.77827510093414</v>
      </c>
      <c r="F264" s="95">
        <f t="shared" si="19"/>
        <v>48969.65290585942</v>
      </c>
    </row>
    <row r="265" spans="2:6" ht="12.75">
      <c r="B265" s="90">
        <f t="shared" si="15"/>
        <v>251</v>
      </c>
      <c r="C265" s="93">
        <f t="shared" si="16"/>
        <v>567.7890013470025</v>
      </c>
      <c r="D265" s="95">
        <f t="shared" si="17"/>
        <v>224.444242485189</v>
      </c>
      <c r="E265" s="95">
        <f t="shared" si="18"/>
        <v>343.3447588618135</v>
      </c>
      <c r="F265" s="95">
        <f t="shared" si="19"/>
        <v>48626.3081469976</v>
      </c>
    </row>
    <row r="266" spans="2:6" ht="12.75">
      <c r="B266" s="90">
        <f t="shared" si="15"/>
        <v>252</v>
      </c>
      <c r="C266" s="93">
        <f t="shared" si="16"/>
        <v>567.7890013470025</v>
      </c>
      <c r="D266" s="95">
        <f t="shared" si="17"/>
        <v>222.87057900707234</v>
      </c>
      <c r="E266" s="95">
        <f t="shared" si="18"/>
        <v>344.9184223399301</v>
      </c>
      <c r="F266" s="95">
        <f t="shared" si="19"/>
        <v>48281.389724657674</v>
      </c>
    </row>
    <row r="267" spans="2:6" ht="12.75">
      <c r="B267" s="90">
        <f t="shared" si="15"/>
        <v>253</v>
      </c>
      <c r="C267" s="93">
        <f t="shared" si="16"/>
        <v>567.7890013470025</v>
      </c>
      <c r="D267" s="95">
        <f t="shared" si="17"/>
        <v>221.289702904681</v>
      </c>
      <c r="E267" s="95">
        <f t="shared" si="18"/>
        <v>346.49929844232145</v>
      </c>
      <c r="F267" s="95">
        <f t="shared" si="19"/>
        <v>47934.89042621535</v>
      </c>
    </row>
    <row r="268" spans="2:6" ht="12.75">
      <c r="B268" s="90">
        <f t="shared" si="15"/>
        <v>254</v>
      </c>
      <c r="C268" s="93">
        <f t="shared" si="16"/>
        <v>567.7890013470025</v>
      </c>
      <c r="D268" s="95">
        <f t="shared" si="17"/>
        <v>219.7015811201537</v>
      </c>
      <c r="E268" s="95">
        <f t="shared" si="18"/>
        <v>348.08742022684874</v>
      </c>
      <c r="F268" s="95">
        <f t="shared" si="19"/>
        <v>47586.803005988506</v>
      </c>
    </row>
    <row r="269" spans="2:6" ht="12.75">
      <c r="B269" s="90">
        <f t="shared" si="15"/>
        <v>255</v>
      </c>
      <c r="C269" s="93">
        <f t="shared" si="16"/>
        <v>567.7890013470025</v>
      </c>
      <c r="D269" s="95">
        <f t="shared" si="17"/>
        <v>218.106180444114</v>
      </c>
      <c r="E269" s="95">
        <f t="shared" si="18"/>
        <v>349.68282090288847</v>
      </c>
      <c r="F269" s="95">
        <f t="shared" si="19"/>
        <v>47237.120185085616</v>
      </c>
    </row>
    <row r="270" spans="2:6" ht="12.75">
      <c r="B270" s="90">
        <f t="shared" si="15"/>
        <v>256</v>
      </c>
      <c r="C270" s="93">
        <f t="shared" si="16"/>
        <v>567.7890013470025</v>
      </c>
      <c r="D270" s="95">
        <f t="shared" si="17"/>
        <v>216.50346751497574</v>
      </c>
      <c r="E270" s="95">
        <f t="shared" si="18"/>
        <v>351.2855338320267</v>
      </c>
      <c r="F270" s="95">
        <f t="shared" si="19"/>
        <v>46885.834651253586</v>
      </c>
    </row>
    <row r="271" spans="2:6" ht="12.75">
      <c r="B271" s="90">
        <f aca="true" t="shared" si="20" ref="B271:B334">1+B270</f>
        <v>257</v>
      </c>
      <c r="C271" s="93">
        <f aca="true" t="shared" si="21" ref="C271:C334">$C$10</f>
        <v>567.7890013470025</v>
      </c>
      <c r="D271" s="95">
        <f aca="true" t="shared" si="22" ref="D271:D334">F270*$C$7</f>
        <v>214.8934088182456</v>
      </c>
      <c r="E271" s="95">
        <f aca="true" t="shared" si="23" ref="E271:E334">C271-D271</f>
        <v>352.8955925287569</v>
      </c>
      <c r="F271" s="95">
        <f aca="true" t="shared" si="24" ref="F271:F334">F270-E271</f>
        <v>46532.93905872483</v>
      </c>
    </row>
    <row r="272" spans="2:6" ht="12.75">
      <c r="B272" s="90">
        <f t="shared" si="20"/>
        <v>258</v>
      </c>
      <c r="C272" s="93">
        <f t="shared" si="21"/>
        <v>567.7890013470025</v>
      </c>
      <c r="D272" s="95">
        <f t="shared" si="22"/>
        <v>213.27597068582213</v>
      </c>
      <c r="E272" s="95">
        <f t="shared" si="23"/>
        <v>354.5130306611803</v>
      </c>
      <c r="F272" s="95">
        <f t="shared" si="24"/>
        <v>46178.426028063644</v>
      </c>
    </row>
    <row r="273" spans="2:6" ht="12.75">
      <c r="B273" s="90">
        <f t="shared" si="20"/>
        <v>259</v>
      </c>
      <c r="C273" s="93">
        <f t="shared" si="21"/>
        <v>567.7890013470025</v>
      </c>
      <c r="D273" s="95">
        <f t="shared" si="22"/>
        <v>211.6511192952917</v>
      </c>
      <c r="E273" s="95">
        <f t="shared" si="23"/>
        <v>356.1378820517108</v>
      </c>
      <c r="F273" s="95">
        <f t="shared" si="24"/>
        <v>45822.28814601193</v>
      </c>
    </row>
    <row r="274" spans="2:6" ht="12.75">
      <c r="B274" s="90">
        <f t="shared" si="20"/>
        <v>260</v>
      </c>
      <c r="C274" s="93">
        <f t="shared" si="21"/>
        <v>567.7890013470025</v>
      </c>
      <c r="D274" s="95">
        <f t="shared" si="22"/>
        <v>210.01882066922136</v>
      </c>
      <c r="E274" s="95">
        <f t="shared" si="23"/>
        <v>357.7701806777811</v>
      </c>
      <c r="F274" s="95">
        <f t="shared" si="24"/>
        <v>45464.51796533415</v>
      </c>
    </row>
    <row r="275" spans="2:6" ht="12.75">
      <c r="B275" s="90">
        <f t="shared" si="20"/>
        <v>261</v>
      </c>
      <c r="C275" s="93">
        <f t="shared" si="21"/>
        <v>567.7890013470025</v>
      </c>
      <c r="D275" s="95">
        <f t="shared" si="22"/>
        <v>208.37904067444816</v>
      </c>
      <c r="E275" s="95">
        <f t="shared" si="23"/>
        <v>359.4099606725543</v>
      </c>
      <c r="F275" s="95">
        <f t="shared" si="24"/>
        <v>45105.10800466159</v>
      </c>
    </row>
    <row r="276" spans="2:6" ht="12.75">
      <c r="B276" s="90">
        <f t="shared" si="20"/>
        <v>262</v>
      </c>
      <c r="C276" s="93">
        <f t="shared" si="21"/>
        <v>567.7890013470025</v>
      </c>
      <c r="D276" s="95">
        <f t="shared" si="22"/>
        <v>206.7317450213656</v>
      </c>
      <c r="E276" s="95">
        <f t="shared" si="23"/>
        <v>361.05725632563684</v>
      </c>
      <c r="F276" s="95">
        <f t="shared" si="24"/>
        <v>44744.050748335954</v>
      </c>
    </row>
    <row r="277" spans="2:6" ht="12.75">
      <c r="B277" s="90">
        <f t="shared" si="20"/>
        <v>263</v>
      </c>
      <c r="C277" s="93">
        <f t="shared" si="21"/>
        <v>567.7890013470025</v>
      </c>
      <c r="D277" s="95">
        <f t="shared" si="22"/>
        <v>205.07689926320646</v>
      </c>
      <c r="E277" s="95">
        <f t="shared" si="23"/>
        <v>362.712102083796</v>
      </c>
      <c r="F277" s="95">
        <f t="shared" si="24"/>
        <v>44381.33864625216</v>
      </c>
    </row>
    <row r="278" spans="2:6" ht="12.75">
      <c r="B278" s="90">
        <f t="shared" si="20"/>
        <v>264</v>
      </c>
      <c r="C278" s="93">
        <f t="shared" si="21"/>
        <v>567.7890013470025</v>
      </c>
      <c r="D278" s="95">
        <f t="shared" si="22"/>
        <v>203.4144687953224</v>
      </c>
      <c r="E278" s="95">
        <f t="shared" si="23"/>
        <v>364.3745325516801</v>
      </c>
      <c r="F278" s="95">
        <f t="shared" si="24"/>
        <v>44016.96411370048</v>
      </c>
    </row>
    <row r="279" spans="2:6" ht="12.75">
      <c r="B279" s="90">
        <f t="shared" si="20"/>
        <v>265</v>
      </c>
      <c r="C279" s="93">
        <f t="shared" si="21"/>
        <v>567.7890013470025</v>
      </c>
      <c r="D279" s="95">
        <f t="shared" si="22"/>
        <v>201.74441885446055</v>
      </c>
      <c r="E279" s="95">
        <f t="shared" si="23"/>
        <v>366.0445824925419</v>
      </c>
      <c r="F279" s="95">
        <f t="shared" si="24"/>
        <v>43650.91953120794</v>
      </c>
    </row>
    <row r="280" spans="2:6" ht="12.75">
      <c r="B280" s="90">
        <f t="shared" si="20"/>
        <v>266</v>
      </c>
      <c r="C280" s="93">
        <f t="shared" si="21"/>
        <v>567.7890013470025</v>
      </c>
      <c r="D280" s="95">
        <f t="shared" si="22"/>
        <v>200.06671451803638</v>
      </c>
      <c r="E280" s="95">
        <f t="shared" si="23"/>
        <v>367.72228682896605</v>
      </c>
      <c r="F280" s="95">
        <f t="shared" si="24"/>
        <v>43283.19724437897</v>
      </c>
    </row>
    <row r="281" spans="2:6" ht="12.75">
      <c r="B281" s="90">
        <f t="shared" si="20"/>
        <v>267</v>
      </c>
      <c r="C281" s="93">
        <f t="shared" si="21"/>
        <v>567.7890013470025</v>
      </c>
      <c r="D281" s="95">
        <f t="shared" si="22"/>
        <v>198.38132070340362</v>
      </c>
      <c r="E281" s="95">
        <f t="shared" si="23"/>
        <v>369.40768064359884</v>
      </c>
      <c r="F281" s="95">
        <f t="shared" si="24"/>
        <v>42913.78956373537</v>
      </c>
    </row>
    <row r="282" spans="2:6" ht="12.75">
      <c r="B282" s="90">
        <f t="shared" si="20"/>
        <v>268</v>
      </c>
      <c r="C282" s="93">
        <f t="shared" si="21"/>
        <v>567.7890013470025</v>
      </c>
      <c r="D282" s="95">
        <f t="shared" si="22"/>
        <v>196.68820216712047</v>
      </c>
      <c r="E282" s="95">
        <f t="shared" si="23"/>
        <v>371.10079917988196</v>
      </c>
      <c r="F282" s="95">
        <f t="shared" si="24"/>
        <v>42542.68876455549</v>
      </c>
    </row>
    <row r="283" spans="2:6" ht="12.75">
      <c r="B283" s="90">
        <f t="shared" si="20"/>
        <v>269</v>
      </c>
      <c r="C283" s="93">
        <f t="shared" si="21"/>
        <v>567.7890013470025</v>
      </c>
      <c r="D283" s="95">
        <f t="shared" si="22"/>
        <v>194.98732350421267</v>
      </c>
      <c r="E283" s="95">
        <f t="shared" si="23"/>
        <v>372.8016778427898</v>
      </c>
      <c r="F283" s="95">
        <f t="shared" si="24"/>
        <v>42169.8870867127</v>
      </c>
    </row>
    <row r="284" spans="2:6" ht="12.75">
      <c r="B284" s="90">
        <f t="shared" si="20"/>
        <v>270</v>
      </c>
      <c r="C284" s="93">
        <f t="shared" si="21"/>
        <v>567.7890013470025</v>
      </c>
      <c r="D284" s="95">
        <f t="shared" si="22"/>
        <v>193.27864914743319</v>
      </c>
      <c r="E284" s="95">
        <f t="shared" si="23"/>
        <v>374.5103521995693</v>
      </c>
      <c r="F284" s="95">
        <f t="shared" si="24"/>
        <v>41795.37673451313</v>
      </c>
    </row>
    <row r="285" spans="2:6" ht="12.75">
      <c r="B285" s="90">
        <f t="shared" si="20"/>
        <v>271</v>
      </c>
      <c r="C285" s="93">
        <f t="shared" si="21"/>
        <v>567.7890013470025</v>
      </c>
      <c r="D285" s="95">
        <f t="shared" si="22"/>
        <v>191.5621433665185</v>
      </c>
      <c r="E285" s="95">
        <f t="shared" si="23"/>
        <v>376.22685798048394</v>
      </c>
      <c r="F285" s="95">
        <f t="shared" si="24"/>
        <v>41419.14987653265</v>
      </c>
    </row>
    <row r="286" spans="2:6" ht="12.75">
      <c r="B286" s="90">
        <f t="shared" si="20"/>
        <v>272</v>
      </c>
      <c r="C286" s="93">
        <f t="shared" si="21"/>
        <v>567.7890013470025</v>
      </c>
      <c r="D286" s="95">
        <f t="shared" si="22"/>
        <v>189.8377702674413</v>
      </c>
      <c r="E286" s="95">
        <f t="shared" si="23"/>
        <v>377.9512310795611</v>
      </c>
      <c r="F286" s="95">
        <f t="shared" si="24"/>
        <v>41041.198645453085</v>
      </c>
    </row>
    <row r="287" spans="2:6" ht="12.75">
      <c r="B287" s="90">
        <f t="shared" si="20"/>
        <v>273</v>
      </c>
      <c r="C287" s="93">
        <f t="shared" si="21"/>
        <v>567.7890013470025</v>
      </c>
      <c r="D287" s="95">
        <f t="shared" si="22"/>
        <v>188.10549379165997</v>
      </c>
      <c r="E287" s="95">
        <f t="shared" si="23"/>
        <v>379.6835075553425</v>
      </c>
      <c r="F287" s="95">
        <f t="shared" si="24"/>
        <v>40661.515137897746</v>
      </c>
    </row>
    <row r="288" spans="2:6" ht="12.75">
      <c r="B288" s="90">
        <f t="shared" si="20"/>
        <v>274</v>
      </c>
      <c r="C288" s="93">
        <f t="shared" si="21"/>
        <v>567.7890013470025</v>
      </c>
      <c r="D288" s="95">
        <f t="shared" si="22"/>
        <v>186.36527771536467</v>
      </c>
      <c r="E288" s="95">
        <f t="shared" si="23"/>
        <v>381.4237236316378</v>
      </c>
      <c r="F288" s="95">
        <f t="shared" si="24"/>
        <v>40280.091414266106</v>
      </c>
    </row>
    <row r="289" spans="2:6" ht="12.75">
      <c r="B289" s="90">
        <f t="shared" si="20"/>
        <v>275</v>
      </c>
      <c r="C289" s="93">
        <f t="shared" si="21"/>
        <v>567.7890013470025</v>
      </c>
      <c r="D289" s="95">
        <f t="shared" si="22"/>
        <v>184.61708564871967</v>
      </c>
      <c r="E289" s="95">
        <f t="shared" si="23"/>
        <v>383.17191569828276</v>
      </c>
      <c r="F289" s="95">
        <f t="shared" si="24"/>
        <v>39896.919498567826</v>
      </c>
    </row>
    <row r="290" spans="2:6" ht="12.75">
      <c r="B290" s="90">
        <f t="shared" si="20"/>
        <v>276</v>
      </c>
      <c r="C290" s="93">
        <f t="shared" si="21"/>
        <v>567.7890013470025</v>
      </c>
      <c r="D290" s="95">
        <f t="shared" si="22"/>
        <v>182.86088103510252</v>
      </c>
      <c r="E290" s="95">
        <f t="shared" si="23"/>
        <v>384.92812031189993</v>
      </c>
      <c r="F290" s="95">
        <f t="shared" si="24"/>
        <v>39511.99137825592</v>
      </c>
    </row>
    <row r="291" spans="2:6" ht="12.75">
      <c r="B291" s="90">
        <f t="shared" si="20"/>
        <v>277</v>
      </c>
      <c r="C291" s="93">
        <f t="shared" si="21"/>
        <v>567.7890013470025</v>
      </c>
      <c r="D291" s="95">
        <f t="shared" si="22"/>
        <v>181.09662715033966</v>
      </c>
      <c r="E291" s="95">
        <f t="shared" si="23"/>
        <v>386.6923741966628</v>
      </c>
      <c r="F291" s="95">
        <f t="shared" si="24"/>
        <v>39125.29900405926</v>
      </c>
    </row>
    <row r="292" spans="2:6" ht="12.75">
      <c r="B292" s="90">
        <f t="shared" si="20"/>
        <v>278</v>
      </c>
      <c r="C292" s="93">
        <f t="shared" si="21"/>
        <v>567.7890013470025</v>
      </c>
      <c r="D292" s="95">
        <f t="shared" si="22"/>
        <v>179.3242871019383</v>
      </c>
      <c r="E292" s="95">
        <f t="shared" si="23"/>
        <v>388.46471424506416</v>
      </c>
      <c r="F292" s="95">
        <f t="shared" si="24"/>
        <v>38736.8342898142</v>
      </c>
    </row>
    <row r="293" spans="2:6" ht="12.75">
      <c r="B293" s="90">
        <f t="shared" si="20"/>
        <v>279</v>
      </c>
      <c r="C293" s="93">
        <f t="shared" si="21"/>
        <v>567.7890013470025</v>
      </c>
      <c r="D293" s="95">
        <f t="shared" si="22"/>
        <v>177.54382382831508</v>
      </c>
      <c r="E293" s="95">
        <f t="shared" si="23"/>
        <v>390.24517751868734</v>
      </c>
      <c r="F293" s="95">
        <f t="shared" si="24"/>
        <v>38346.589112295514</v>
      </c>
    </row>
    <row r="294" spans="2:6" ht="12.75">
      <c r="B294" s="90">
        <f t="shared" si="20"/>
        <v>280</v>
      </c>
      <c r="C294" s="93">
        <f t="shared" si="21"/>
        <v>567.7890013470025</v>
      </c>
      <c r="D294" s="95">
        <f t="shared" si="22"/>
        <v>175.7552000980211</v>
      </c>
      <c r="E294" s="95">
        <f t="shared" si="23"/>
        <v>392.0338012489814</v>
      </c>
      <c r="F294" s="95">
        <f t="shared" si="24"/>
        <v>37954.55531104653</v>
      </c>
    </row>
    <row r="295" spans="2:6" ht="12.75">
      <c r="B295" s="90">
        <f t="shared" si="20"/>
        <v>281</v>
      </c>
      <c r="C295" s="93">
        <f t="shared" si="21"/>
        <v>567.7890013470025</v>
      </c>
      <c r="D295" s="95">
        <f t="shared" si="22"/>
        <v>173.95837850896328</v>
      </c>
      <c r="E295" s="95">
        <f t="shared" si="23"/>
        <v>393.8306228380392</v>
      </c>
      <c r="F295" s="95">
        <f t="shared" si="24"/>
        <v>37560.724688208495</v>
      </c>
    </row>
    <row r="296" spans="2:6" ht="12.75">
      <c r="B296" s="90">
        <f t="shared" si="20"/>
        <v>282</v>
      </c>
      <c r="C296" s="93">
        <f t="shared" si="21"/>
        <v>567.7890013470025</v>
      </c>
      <c r="D296" s="95">
        <f t="shared" si="22"/>
        <v>172.15332148762226</v>
      </c>
      <c r="E296" s="95">
        <f t="shared" si="23"/>
        <v>395.63567985938016</v>
      </c>
      <c r="F296" s="95">
        <f t="shared" si="24"/>
        <v>37165.08900834912</v>
      </c>
    </row>
    <row r="297" spans="2:6" ht="12.75">
      <c r="B297" s="90">
        <f t="shared" si="20"/>
        <v>283</v>
      </c>
      <c r="C297" s="93">
        <f t="shared" si="21"/>
        <v>567.7890013470025</v>
      </c>
      <c r="D297" s="95">
        <f t="shared" si="22"/>
        <v>170.3399912882668</v>
      </c>
      <c r="E297" s="95">
        <f t="shared" si="23"/>
        <v>397.44901005873567</v>
      </c>
      <c r="F297" s="95">
        <f t="shared" si="24"/>
        <v>36767.63999829038</v>
      </c>
    </row>
    <row r="298" spans="2:6" ht="12.75">
      <c r="B298" s="90">
        <f t="shared" si="20"/>
        <v>284</v>
      </c>
      <c r="C298" s="93">
        <f t="shared" si="21"/>
        <v>567.7890013470025</v>
      </c>
      <c r="D298" s="95">
        <f t="shared" si="22"/>
        <v>168.51834999216425</v>
      </c>
      <c r="E298" s="95">
        <f t="shared" si="23"/>
        <v>399.2706513548382</v>
      </c>
      <c r="F298" s="95">
        <f t="shared" si="24"/>
        <v>36368.36934693554</v>
      </c>
    </row>
    <row r="299" spans="2:6" ht="12.75">
      <c r="B299" s="90">
        <f t="shared" si="20"/>
        <v>285</v>
      </c>
      <c r="C299" s="93">
        <f t="shared" si="21"/>
        <v>567.7890013470025</v>
      </c>
      <c r="D299" s="95">
        <f t="shared" si="22"/>
        <v>166.6883595067879</v>
      </c>
      <c r="E299" s="95">
        <f t="shared" si="23"/>
        <v>401.10064184021456</v>
      </c>
      <c r="F299" s="95">
        <f t="shared" si="24"/>
        <v>35967.268705095325</v>
      </c>
    </row>
    <row r="300" spans="2:6" ht="12.75">
      <c r="B300" s="90">
        <f t="shared" si="20"/>
        <v>286</v>
      </c>
      <c r="C300" s="93">
        <f t="shared" si="21"/>
        <v>567.7890013470025</v>
      </c>
      <c r="D300" s="95">
        <f t="shared" si="22"/>
        <v>164.84998156502024</v>
      </c>
      <c r="E300" s="95">
        <f t="shared" si="23"/>
        <v>402.9390197819822</v>
      </c>
      <c r="F300" s="95">
        <f t="shared" si="24"/>
        <v>35564.32968531334</v>
      </c>
    </row>
    <row r="301" spans="2:6" ht="12.75">
      <c r="B301" s="90">
        <f t="shared" si="20"/>
        <v>287</v>
      </c>
      <c r="C301" s="93">
        <f t="shared" si="21"/>
        <v>567.7890013470025</v>
      </c>
      <c r="D301" s="95">
        <f t="shared" si="22"/>
        <v>163.00317772435284</v>
      </c>
      <c r="E301" s="95">
        <f t="shared" si="23"/>
        <v>404.7858236226496</v>
      </c>
      <c r="F301" s="95">
        <f t="shared" si="24"/>
        <v>35159.54386169069</v>
      </c>
    </row>
    <row r="302" spans="2:6" ht="12.75">
      <c r="B302" s="90">
        <f t="shared" si="20"/>
        <v>288</v>
      </c>
      <c r="C302" s="93">
        <f t="shared" si="21"/>
        <v>567.7890013470025</v>
      </c>
      <c r="D302" s="95">
        <f t="shared" si="22"/>
        <v>161.14790936608233</v>
      </c>
      <c r="E302" s="95">
        <f t="shared" si="23"/>
        <v>406.6410919809201</v>
      </c>
      <c r="F302" s="95">
        <f t="shared" si="24"/>
        <v>34752.90276970977</v>
      </c>
    </row>
    <row r="303" spans="2:6" ht="12.75">
      <c r="B303" s="90">
        <f t="shared" si="20"/>
        <v>289</v>
      </c>
      <c r="C303" s="93">
        <f t="shared" si="21"/>
        <v>567.7890013470025</v>
      </c>
      <c r="D303" s="95">
        <f t="shared" si="22"/>
        <v>159.2841376945031</v>
      </c>
      <c r="E303" s="95">
        <f t="shared" si="23"/>
        <v>408.50486365249935</v>
      </c>
      <c r="F303" s="95">
        <f t="shared" si="24"/>
        <v>34344.39790605727</v>
      </c>
    </row>
    <row r="304" spans="2:6" ht="12.75">
      <c r="B304" s="90">
        <f t="shared" si="20"/>
        <v>290</v>
      </c>
      <c r="C304" s="93">
        <f t="shared" si="21"/>
        <v>567.7890013470025</v>
      </c>
      <c r="D304" s="95">
        <f t="shared" si="22"/>
        <v>157.4118237360958</v>
      </c>
      <c r="E304" s="95">
        <f t="shared" si="23"/>
        <v>410.37717761090664</v>
      </c>
      <c r="F304" s="95">
        <f t="shared" si="24"/>
        <v>33934.02072844636</v>
      </c>
    </row>
    <row r="305" spans="2:6" ht="12.75">
      <c r="B305" s="90">
        <f t="shared" si="20"/>
        <v>291</v>
      </c>
      <c r="C305" s="93">
        <f t="shared" si="21"/>
        <v>567.7890013470025</v>
      </c>
      <c r="D305" s="95">
        <f t="shared" si="22"/>
        <v>155.5309283387125</v>
      </c>
      <c r="E305" s="95">
        <f t="shared" si="23"/>
        <v>412.25807300828995</v>
      </c>
      <c r="F305" s="95">
        <f t="shared" si="24"/>
        <v>33521.76265543807</v>
      </c>
    </row>
    <row r="306" spans="2:6" ht="12.75">
      <c r="B306" s="90">
        <f t="shared" si="20"/>
        <v>292</v>
      </c>
      <c r="C306" s="93">
        <f t="shared" si="21"/>
        <v>567.7890013470025</v>
      </c>
      <c r="D306" s="95">
        <f t="shared" si="22"/>
        <v>153.64141217075783</v>
      </c>
      <c r="E306" s="95">
        <f t="shared" si="23"/>
        <v>414.14758917624465</v>
      </c>
      <c r="F306" s="95">
        <f t="shared" si="24"/>
        <v>33107.615066261824</v>
      </c>
    </row>
    <row r="307" spans="2:6" ht="12.75">
      <c r="B307" s="90">
        <f t="shared" si="20"/>
        <v>293</v>
      </c>
      <c r="C307" s="93">
        <f t="shared" si="21"/>
        <v>567.7890013470025</v>
      </c>
      <c r="D307" s="95">
        <f t="shared" si="22"/>
        <v>151.7432357203667</v>
      </c>
      <c r="E307" s="95">
        <f t="shared" si="23"/>
        <v>416.0457656266358</v>
      </c>
      <c r="F307" s="95">
        <f t="shared" si="24"/>
        <v>32691.569300635187</v>
      </c>
    </row>
    <row r="308" spans="2:6" ht="12.75">
      <c r="B308" s="90">
        <f t="shared" si="20"/>
        <v>294</v>
      </c>
      <c r="C308" s="93">
        <f t="shared" si="21"/>
        <v>567.7890013470025</v>
      </c>
      <c r="D308" s="95">
        <f t="shared" si="22"/>
        <v>149.83635929457793</v>
      </c>
      <c r="E308" s="95">
        <f t="shared" si="23"/>
        <v>417.9526420524245</v>
      </c>
      <c r="F308" s="95">
        <f t="shared" si="24"/>
        <v>32273.616658582763</v>
      </c>
    </row>
    <row r="309" spans="2:6" ht="12.75">
      <c r="B309" s="90">
        <f t="shared" si="20"/>
        <v>295</v>
      </c>
      <c r="C309" s="93">
        <f t="shared" si="21"/>
        <v>567.7890013470025</v>
      </c>
      <c r="D309" s="95">
        <f t="shared" si="22"/>
        <v>147.92074301850434</v>
      </c>
      <c r="E309" s="95">
        <f t="shared" si="23"/>
        <v>419.8682583284981</v>
      </c>
      <c r="F309" s="95">
        <f t="shared" si="24"/>
        <v>31853.748400254266</v>
      </c>
    </row>
    <row r="310" spans="2:6" ht="12.75">
      <c r="B310" s="90">
        <f t="shared" si="20"/>
        <v>296</v>
      </c>
      <c r="C310" s="93">
        <f t="shared" si="21"/>
        <v>567.7890013470025</v>
      </c>
      <c r="D310" s="95">
        <f t="shared" si="22"/>
        <v>145.99634683449872</v>
      </c>
      <c r="E310" s="95">
        <f t="shared" si="23"/>
        <v>421.79265451250376</v>
      </c>
      <c r="F310" s="95">
        <f t="shared" si="24"/>
        <v>31431.95574574176</v>
      </c>
    </row>
    <row r="311" spans="2:6" ht="12.75">
      <c r="B311" s="90">
        <f t="shared" si="20"/>
        <v>297</v>
      </c>
      <c r="C311" s="93">
        <f t="shared" si="21"/>
        <v>567.7890013470025</v>
      </c>
      <c r="D311" s="95">
        <f t="shared" si="22"/>
        <v>144.0631305013164</v>
      </c>
      <c r="E311" s="95">
        <f t="shared" si="23"/>
        <v>423.725870845686</v>
      </c>
      <c r="F311" s="95">
        <f t="shared" si="24"/>
        <v>31008.229874896075</v>
      </c>
    </row>
    <row r="312" spans="2:6" ht="12.75">
      <c r="B312" s="90">
        <f t="shared" si="20"/>
        <v>298</v>
      </c>
      <c r="C312" s="93">
        <f t="shared" si="21"/>
        <v>567.7890013470025</v>
      </c>
      <c r="D312" s="95">
        <f t="shared" si="22"/>
        <v>142.12105359327367</v>
      </c>
      <c r="E312" s="95">
        <f t="shared" si="23"/>
        <v>425.66794775372875</v>
      </c>
      <c r="F312" s="95">
        <f t="shared" si="24"/>
        <v>30582.561927142346</v>
      </c>
    </row>
    <row r="313" spans="2:6" ht="12.75">
      <c r="B313" s="90">
        <f t="shared" si="20"/>
        <v>299</v>
      </c>
      <c r="C313" s="93">
        <f t="shared" si="21"/>
        <v>567.7890013470025</v>
      </c>
      <c r="D313" s="95">
        <f t="shared" si="22"/>
        <v>140.17007549940243</v>
      </c>
      <c r="E313" s="95">
        <f t="shared" si="23"/>
        <v>427.61892584760005</v>
      </c>
      <c r="F313" s="95">
        <f t="shared" si="24"/>
        <v>30154.943001294745</v>
      </c>
    </row>
    <row r="314" spans="2:6" ht="12.75">
      <c r="B314" s="90">
        <f t="shared" si="20"/>
        <v>300</v>
      </c>
      <c r="C314" s="93">
        <f t="shared" si="21"/>
        <v>567.7890013470025</v>
      </c>
      <c r="D314" s="95">
        <f t="shared" si="22"/>
        <v>138.2101554226009</v>
      </c>
      <c r="E314" s="95">
        <f t="shared" si="23"/>
        <v>429.57884592440155</v>
      </c>
      <c r="F314" s="95">
        <f t="shared" si="24"/>
        <v>29725.364155370342</v>
      </c>
    </row>
    <row r="315" spans="2:6" ht="12.75">
      <c r="B315" s="90">
        <f t="shared" si="20"/>
        <v>301</v>
      </c>
      <c r="C315" s="93">
        <f t="shared" si="21"/>
        <v>567.7890013470025</v>
      </c>
      <c r="D315" s="95">
        <f t="shared" si="22"/>
        <v>136.24125237878073</v>
      </c>
      <c r="E315" s="95">
        <f t="shared" si="23"/>
        <v>431.54774896822175</v>
      </c>
      <c r="F315" s="95">
        <f t="shared" si="24"/>
        <v>29293.81640640212</v>
      </c>
    </row>
    <row r="316" spans="2:6" ht="12.75">
      <c r="B316" s="90">
        <f t="shared" si="20"/>
        <v>302</v>
      </c>
      <c r="C316" s="93">
        <f t="shared" si="21"/>
        <v>567.7890013470025</v>
      </c>
      <c r="D316" s="95">
        <f t="shared" si="22"/>
        <v>134.2633251960097</v>
      </c>
      <c r="E316" s="95">
        <f t="shared" si="23"/>
        <v>433.52567615099275</v>
      </c>
      <c r="F316" s="95">
        <f t="shared" si="24"/>
        <v>28860.290730251127</v>
      </c>
    </row>
    <row r="317" spans="2:6" ht="12.75">
      <c r="B317" s="90">
        <f t="shared" si="20"/>
        <v>303</v>
      </c>
      <c r="C317" s="93">
        <f t="shared" si="21"/>
        <v>567.7890013470025</v>
      </c>
      <c r="D317" s="95">
        <f t="shared" si="22"/>
        <v>132.276332513651</v>
      </c>
      <c r="E317" s="95">
        <f t="shared" si="23"/>
        <v>435.5126688333514</v>
      </c>
      <c r="F317" s="95">
        <f t="shared" si="24"/>
        <v>28424.778061417775</v>
      </c>
    </row>
    <row r="318" spans="2:6" ht="12.75">
      <c r="B318" s="90">
        <f t="shared" si="20"/>
        <v>304</v>
      </c>
      <c r="C318" s="93">
        <f t="shared" si="21"/>
        <v>567.7890013470025</v>
      </c>
      <c r="D318" s="95">
        <f t="shared" si="22"/>
        <v>130.28023278149814</v>
      </c>
      <c r="E318" s="95">
        <f t="shared" si="23"/>
        <v>437.5087685655043</v>
      </c>
      <c r="F318" s="95">
        <f t="shared" si="24"/>
        <v>27987.26929285227</v>
      </c>
    </row>
    <row r="319" spans="2:6" ht="12.75">
      <c r="B319" s="90">
        <f t="shared" si="20"/>
        <v>305</v>
      </c>
      <c r="C319" s="93">
        <f t="shared" si="21"/>
        <v>567.7890013470025</v>
      </c>
      <c r="D319" s="95">
        <f t="shared" si="22"/>
        <v>128.27498425890624</v>
      </c>
      <c r="E319" s="95">
        <f t="shared" si="23"/>
        <v>439.51401708809624</v>
      </c>
      <c r="F319" s="95">
        <f t="shared" si="24"/>
        <v>27547.755275764175</v>
      </c>
    </row>
    <row r="320" spans="2:6" ht="12.75">
      <c r="B320" s="90">
        <f t="shared" si="20"/>
        <v>306</v>
      </c>
      <c r="C320" s="93">
        <f t="shared" si="21"/>
        <v>567.7890013470025</v>
      </c>
      <c r="D320" s="95">
        <f t="shared" si="22"/>
        <v>126.26054501391914</v>
      </c>
      <c r="E320" s="95">
        <f t="shared" si="23"/>
        <v>441.52845633308334</v>
      </c>
      <c r="F320" s="95">
        <f t="shared" si="24"/>
        <v>27106.226819431093</v>
      </c>
    </row>
    <row r="321" spans="2:6" ht="12.75">
      <c r="B321" s="90">
        <f t="shared" si="20"/>
        <v>307</v>
      </c>
      <c r="C321" s="93">
        <f t="shared" si="21"/>
        <v>567.7890013470025</v>
      </c>
      <c r="D321" s="95">
        <f t="shared" si="22"/>
        <v>124.23687292239251</v>
      </c>
      <c r="E321" s="95">
        <f t="shared" si="23"/>
        <v>443.5521284246099</v>
      </c>
      <c r="F321" s="95">
        <f t="shared" si="24"/>
        <v>26662.674691006483</v>
      </c>
    </row>
    <row r="322" spans="2:6" ht="12.75">
      <c r="B322" s="90">
        <f t="shared" si="20"/>
        <v>308</v>
      </c>
      <c r="C322" s="93">
        <f t="shared" si="21"/>
        <v>567.7890013470025</v>
      </c>
      <c r="D322" s="95">
        <f t="shared" si="22"/>
        <v>122.20392566711305</v>
      </c>
      <c r="E322" s="95">
        <f t="shared" si="23"/>
        <v>445.5850756798894</v>
      </c>
      <c r="F322" s="95">
        <f t="shared" si="24"/>
        <v>26217.089615326593</v>
      </c>
    </row>
    <row r="323" spans="2:6" ht="12.75">
      <c r="B323" s="90">
        <f t="shared" si="20"/>
        <v>309</v>
      </c>
      <c r="C323" s="93">
        <f t="shared" si="21"/>
        <v>567.7890013470025</v>
      </c>
      <c r="D323" s="95">
        <f t="shared" si="22"/>
        <v>120.16166073691355</v>
      </c>
      <c r="E323" s="95">
        <f t="shared" si="23"/>
        <v>447.62734061008894</v>
      </c>
      <c r="F323" s="95">
        <f t="shared" si="24"/>
        <v>25769.462274716505</v>
      </c>
    </row>
    <row r="324" spans="2:6" ht="12.75">
      <c r="B324" s="90">
        <f t="shared" si="20"/>
        <v>310</v>
      </c>
      <c r="C324" s="93">
        <f t="shared" si="21"/>
        <v>567.7890013470025</v>
      </c>
      <c r="D324" s="95">
        <f t="shared" si="22"/>
        <v>118.11003542578398</v>
      </c>
      <c r="E324" s="95">
        <f t="shared" si="23"/>
        <v>449.6789659212185</v>
      </c>
      <c r="F324" s="95">
        <f t="shared" si="24"/>
        <v>25319.783308795286</v>
      </c>
    </row>
    <row r="325" spans="2:6" ht="12.75">
      <c r="B325" s="90">
        <f t="shared" si="20"/>
        <v>311</v>
      </c>
      <c r="C325" s="93">
        <f t="shared" si="21"/>
        <v>567.7890013470025</v>
      </c>
      <c r="D325" s="95">
        <f t="shared" si="22"/>
        <v>116.04900683197839</v>
      </c>
      <c r="E325" s="95">
        <f t="shared" si="23"/>
        <v>451.7399945150241</v>
      </c>
      <c r="F325" s="95">
        <f t="shared" si="24"/>
        <v>24868.04331428026</v>
      </c>
    </row>
    <row r="326" spans="2:6" ht="12.75">
      <c r="B326" s="90">
        <f t="shared" si="20"/>
        <v>312</v>
      </c>
      <c r="C326" s="93">
        <f t="shared" si="21"/>
        <v>567.7890013470025</v>
      </c>
      <c r="D326" s="95">
        <f t="shared" si="22"/>
        <v>113.97853185711786</v>
      </c>
      <c r="E326" s="95">
        <f t="shared" si="23"/>
        <v>453.8104694898846</v>
      </c>
      <c r="F326" s="95">
        <f t="shared" si="24"/>
        <v>24414.23284479038</v>
      </c>
    </row>
    <row r="327" spans="2:6" ht="12.75">
      <c r="B327" s="90">
        <f t="shared" si="20"/>
        <v>313</v>
      </c>
      <c r="C327" s="93">
        <f t="shared" si="21"/>
        <v>567.7890013470025</v>
      </c>
      <c r="D327" s="95">
        <f t="shared" si="22"/>
        <v>111.89856720528924</v>
      </c>
      <c r="E327" s="95">
        <f t="shared" si="23"/>
        <v>455.89043414171323</v>
      </c>
      <c r="F327" s="95">
        <f t="shared" si="24"/>
        <v>23958.342410648664</v>
      </c>
    </row>
    <row r="328" spans="2:6" ht="12.75">
      <c r="B328" s="90">
        <f t="shared" si="20"/>
        <v>314</v>
      </c>
      <c r="C328" s="93">
        <f t="shared" si="21"/>
        <v>567.7890013470025</v>
      </c>
      <c r="D328" s="95">
        <f t="shared" si="22"/>
        <v>109.80906938213971</v>
      </c>
      <c r="E328" s="95">
        <f t="shared" si="23"/>
        <v>457.97993196486277</v>
      </c>
      <c r="F328" s="95">
        <f t="shared" si="24"/>
        <v>23500.3624786838</v>
      </c>
    </row>
    <row r="329" spans="2:6" ht="12.75">
      <c r="B329" s="90">
        <f t="shared" si="20"/>
        <v>315</v>
      </c>
      <c r="C329" s="93">
        <f t="shared" si="21"/>
        <v>567.7890013470025</v>
      </c>
      <c r="D329" s="95">
        <f t="shared" si="22"/>
        <v>107.70999469396742</v>
      </c>
      <c r="E329" s="95">
        <f t="shared" si="23"/>
        <v>460.07900665303504</v>
      </c>
      <c r="F329" s="95">
        <f t="shared" si="24"/>
        <v>23040.283472030766</v>
      </c>
    </row>
    <row r="330" spans="2:6" ht="12.75">
      <c r="B330" s="90">
        <f t="shared" si="20"/>
        <v>316</v>
      </c>
      <c r="C330" s="93">
        <f t="shared" si="21"/>
        <v>567.7890013470025</v>
      </c>
      <c r="D330" s="95">
        <f t="shared" si="22"/>
        <v>105.60129924680767</v>
      </c>
      <c r="E330" s="95">
        <f t="shared" si="23"/>
        <v>462.18770210019477</v>
      </c>
      <c r="F330" s="95">
        <f t="shared" si="24"/>
        <v>22578.09576993057</v>
      </c>
    </row>
    <row r="331" spans="2:6" ht="12.75">
      <c r="B331" s="90">
        <f t="shared" si="20"/>
        <v>317</v>
      </c>
      <c r="C331" s="93">
        <f t="shared" si="21"/>
        <v>567.7890013470025</v>
      </c>
      <c r="D331" s="95">
        <f t="shared" si="22"/>
        <v>103.48293894551512</v>
      </c>
      <c r="E331" s="95">
        <f t="shared" si="23"/>
        <v>464.30606240148734</v>
      </c>
      <c r="F331" s="95">
        <f t="shared" si="24"/>
        <v>22113.789707529082</v>
      </c>
    </row>
    <row r="332" spans="2:6" ht="12.75">
      <c r="B332" s="90">
        <f t="shared" si="20"/>
        <v>318</v>
      </c>
      <c r="C332" s="93">
        <f t="shared" si="21"/>
        <v>567.7890013470025</v>
      </c>
      <c r="D332" s="95">
        <f t="shared" si="22"/>
        <v>101.35486949284163</v>
      </c>
      <c r="E332" s="95">
        <f t="shared" si="23"/>
        <v>466.4341318541608</v>
      </c>
      <c r="F332" s="95">
        <f t="shared" si="24"/>
        <v>21647.355575674923</v>
      </c>
    </row>
    <row r="333" spans="2:6" ht="12.75">
      <c r="B333" s="90">
        <f t="shared" si="20"/>
        <v>319</v>
      </c>
      <c r="C333" s="93">
        <f t="shared" si="21"/>
        <v>567.7890013470025</v>
      </c>
      <c r="D333" s="95">
        <f t="shared" si="22"/>
        <v>99.21704638851007</v>
      </c>
      <c r="E333" s="95">
        <f t="shared" si="23"/>
        <v>468.57195495849237</v>
      </c>
      <c r="F333" s="95">
        <f t="shared" si="24"/>
        <v>21178.78362071643</v>
      </c>
    </row>
    <row r="334" spans="2:6" ht="12.75">
      <c r="B334" s="90">
        <f t="shared" si="20"/>
        <v>320</v>
      </c>
      <c r="C334" s="93">
        <f t="shared" si="21"/>
        <v>567.7890013470025</v>
      </c>
      <c r="D334" s="95">
        <f t="shared" si="22"/>
        <v>97.06942492828364</v>
      </c>
      <c r="E334" s="95">
        <f t="shared" si="23"/>
        <v>470.7195764187188</v>
      </c>
      <c r="F334" s="95">
        <f t="shared" si="24"/>
        <v>20708.06404429771</v>
      </c>
    </row>
    <row r="335" spans="2:6" ht="12.75">
      <c r="B335" s="90">
        <f aca="true" t="shared" si="25" ref="B335:B374">1+B334</f>
        <v>321</v>
      </c>
      <c r="C335" s="93">
        <f aca="true" t="shared" si="26" ref="C335:C374">$C$10</f>
        <v>567.7890013470025</v>
      </c>
      <c r="D335" s="95">
        <f aca="true" t="shared" si="27" ref="D335:D374">F334*$C$7</f>
        <v>94.91196020303117</v>
      </c>
      <c r="E335" s="95">
        <f aca="true" t="shared" si="28" ref="E335:E374">C335-D335</f>
        <v>472.87704114397127</v>
      </c>
      <c r="F335" s="95">
        <f aca="true" t="shared" si="29" ref="F335:F374">F334-E335</f>
        <v>20235.187003153736</v>
      </c>
    </row>
    <row r="336" spans="2:6" ht="12.75">
      <c r="B336" s="90">
        <f t="shared" si="25"/>
        <v>322</v>
      </c>
      <c r="C336" s="93">
        <f t="shared" si="26"/>
        <v>567.7890013470025</v>
      </c>
      <c r="D336" s="95">
        <f t="shared" si="27"/>
        <v>92.74460709778796</v>
      </c>
      <c r="E336" s="95">
        <f t="shared" si="28"/>
        <v>475.0443942492145</v>
      </c>
      <c r="F336" s="95">
        <f t="shared" si="29"/>
        <v>19760.142608904524</v>
      </c>
    </row>
    <row r="337" spans="2:6" ht="12.75">
      <c r="B337" s="90">
        <f t="shared" si="25"/>
        <v>323</v>
      </c>
      <c r="C337" s="93">
        <f t="shared" si="26"/>
        <v>567.7890013470025</v>
      </c>
      <c r="D337" s="95">
        <f t="shared" si="27"/>
        <v>90.5673202908124</v>
      </c>
      <c r="E337" s="95">
        <f t="shared" si="28"/>
        <v>477.22168105619005</v>
      </c>
      <c r="F337" s="95">
        <f t="shared" si="29"/>
        <v>19282.920927848332</v>
      </c>
    </row>
    <row r="338" spans="2:6" ht="12.75">
      <c r="B338" s="90">
        <f t="shared" si="25"/>
        <v>324</v>
      </c>
      <c r="C338" s="93">
        <f t="shared" si="26"/>
        <v>567.7890013470025</v>
      </c>
      <c r="D338" s="95">
        <f t="shared" si="27"/>
        <v>88.38005425263819</v>
      </c>
      <c r="E338" s="95">
        <f t="shared" si="28"/>
        <v>479.4089470943643</v>
      </c>
      <c r="F338" s="95">
        <f t="shared" si="29"/>
        <v>18803.511980753967</v>
      </c>
    </row>
    <row r="339" spans="2:6" ht="12.75">
      <c r="B339" s="90">
        <f t="shared" si="25"/>
        <v>325</v>
      </c>
      <c r="C339" s="93">
        <f t="shared" si="26"/>
        <v>567.7890013470025</v>
      </c>
      <c r="D339" s="95">
        <f t="shared" si="27"/>
        <v>86.18276324512235</v>
      </c>
      <c r="E339" s="95">
        <f t="shared" si="28"/>
        <v>481.6062381018801</v>
      </c>
      <c r="F339" s="95">
        <f t="shared" si="29"/>
        <v>18321.90574265209</v>
      </c>
    </row>
    <row r="340" spans="2:6" ht="12.75">
      <c r="B340" s="90">
        <f t="shared" si="25"/>
        <v>326</v>
      </c>
      <c r="C340" s="93">
        <f t="shared" si="26"/>
        <v>567.7890013470025</v>
      </c>
      <c r="D340" s="95">
        <f t="shared" si="27"/>
        <v>83.97540132048874</v>
      </c>
      <c r="E340" s="95">
        <f t="shared" si="28"/>
        <v>483.8136000265137</v>
      </c>
      <c r="F340" s="95">
        <f t="shared" si="29"/>
        <v>17838.092142625574</v>
      </c>
    </row>
    <row r="341" spans="2:6" ht="12.75">
      <c r="B341" s="90">
        <f t="shared" si="25"/>
        <v>327</v>
      </c>
      <c r="C341" s="93">
        <f t="shared" si="26"/>
        <v>567.7890013470025</v>
      </c>
      <c r="D341" s="95">
        <f t="shared" si="27"/>
        <v>81.75792232036721</v>
      </c>
      <c r="E341" s="95">
        <f t="shared" si="28"/>
        <v>486.0310790266352</v>
      </c>
      <c r="F341" s="95">
        <f t="shared" si="29"/>
        <v>17352.06106359894</v>
      </c>
    </row>
    <row r="342" spans="2:6" ht="12.75">
      <c r="B342" s="90">
        <f t="shared" si="25"/>
        <v>328</v>
      </c>
      <c r="C342" s="93">
        <f t="shared" si="26"/>
        <v>567.7890013470025</v>
      </c>
      <c r="D342" s="95">
        <f t="shared" si="27"/>
        <v>79.53027987482848</v>
      </c>
      <c r="E342" s="95">
        <f t="shared" si="28"/>
        <v>488.258721472174</v>
      </c>
      <c r="F342" s="95">
        <f t="shared" si="29"/>
        <v>16863.802342126764</v>
      </c>
    </row>
    <row r="343" spans="2:6" ht="12.75">
      <c r="B343" s="90">
        <f t="shared" si="25"/>
        <v>329</v>
      </c>
      <c r="C343" s="93">
        <f t="shared" si="26"/>
        <v>567.7890013470025</v>
      </c>
      <c r="D343" s="95">
        <f t="shared" si="27"/>
        <v>77.29242740141434</v>
      </c>
      <c r="E343" s="95">
        <f t="shared" si="28"/>
        <v>490.4965739455881</v>
      </c>
      <c r="F343" s="95">
        <f t="shared" si="29"/>
        <v>16373.305768181177</v>
      </c>
    </row>
    <row r="344" spans="2:6" ht="12.75">
      <c r="B344" s="90">
        <f t="shared" si="25"/>
        <v>330</v>
      </c>
      <c r="C344" s="93">
        <f t="shared" si="26"/>
        <v>567.7890013470025</v>
      </c>
      <c r="D344" s="95">
        <f t="shared" si="27"/>
        <v>75.04431810416372</v>
      </c>
      <c r="E344" s="95">
        <f t="shared" si="28"/>
        <v>492.74468324283873</v>
      </c>
      <c r="F344" s="95">
        <f t="shared" si="29"/>
        <v>15880.561084938337</v>
      </c>
    </row>
    <row r="345" spans="2:6" ht="12.75">
      <c r="B345" s="90">
        <f t="shared" si="25"/>
        <v>331</v>
      </c>
      <c r="C345" s="93">
        <f t="shared" si="26"/>
        <v>567.7890013470025</v>
      </c>
      <c r="D345" s="95">
        <f t="shared" si="27"/>
        <v>72.78590497263404</v>
      </c>
      <c r="E345" s="95">
        <f t="shared" si="28"/>
        <v>495.0030963743684</v>
      </c>
      <c r="F345" s="95">
        <f t="shared" si="29"/>
        <v>15385.557988563969</v>
      </c>
    </row>
    <row r="346" spans="2:6" ht="12.75">
      <c r="B346" s="90">
        <f t="shared" si="25"/>
        <v>332</v>
      </c>
      <c r="C346" s="93">
        <f t="shared" si="26"/>
        <v>567.7890013470025</v>
      </c>
      <c r="D346" s="95">
        <f t="shared" si="27"/>
        <v>70.5171407809182</v>
      </c>
      <c r="E346" s="95">
        <f t="shared" si="28"/>
        <v>497.27186056608423</v>
      </c>
      <c r="F346" s="95">
        <f t="shared" si="29"/>
        <v>14888.286127997884</v>
      </c>
    </row>
    <row r="347" spans="2:6" ht="12.75">
      <c r="B347" s="90">
        <f t="shared" si="25"/>
        <v>333</v>
      </c>
      <c r="C347" s="93">
        <f t="shared" si="26"/>
        <v>567.7890013470025</v>
      </c>
      <c r="D347" s="95">
        <f t="shared" si="27"/>
        <v>68.23797808665697</v>
      </c>
      <c r="E347" s="95">
        <f t="shared" si="28"/>
        <v>499.55102326034546</v>
      </c>
      <c r="F347" s="95">
        <f t="shared" si="29"/>
        <v>14388.73510473754</v>
      </c>
    </row>
    <row r="348" spans="2:6" ht="12.75">
      <c r="B348" s="90">
        <f t="shared" si="25"/>
        <v>334</v>
      </c>
      <c r="C348" s="93">
        <f t="shared" si="26"/>
        <v>567.7890013470025</v>
      </c>
      <c r="D348" s="95">
        <f t="shared" si="27"/>
        <v>65.94836923004706</v>
      </c>
      <c r="E348" s="95">
        <f t="shared" si="28"/>
        <v>501.84063211695536</v>
      </c>
      <c r="F348" s="95">
        <f t="shared" si="29"/>
        <v>13886.894472620585</v>
      </c>
    </row>
    <row r="349" spans="2:6" ht="12.75">
      <c r="B349" s="90">
        <f t="shared" si="25"/>
        <v>335</v>
      </c>
      <c r="C349" s="93">
        <f t="shared" si="26"/>
        <v>567.7890013470025</v>
      </c>
      <c r="D349" s="95">
        <f t="shared" si="27"/>
        <v>63.648266332844344</v>
      </c>
      <c r="E349" s="95">
        <f t="shared" si="28"/>
        <v>504.1407350141581</v>
      </c>
      <c r="F349" s="95">
        <f t="shared" si="29"/>
        <v>13382.753737606427</v>
      </c>
    </row>
    <row r="350" spans="2:6" ht="12.75">
      <c r="B350" s="90">
        <f t="shared" si="25"/>
        <v>336</v>
      </c>
      <c r="C350" s="93">
        <f t="shared" si="26"/>
        <v>567.7890013470025</v>
      </c>
      <c r="D350" s="95">
        <f t="shared" si="27"/>
        <v>61.33762129736279</v>
      </c>
      <c r="E350" s="95">
        <f t="shared" si="28"/>
        <v>506.4513800496397</v>
      </c>
      <c r="F350" s="95">
        <f t="shared" si="29"/>
        <v>12876.302357556788</v>
      </c>
    </row>
    <row r="351" spans="2:6" ht="12.75">
      <c r="B351" s="90">
        <f t="shared" si="25"/>
        <v>337</v>
      </c>
      <c r="C351" s="93">
        <f t="shared" si="26"/>
        <v>567.7890013470025</v>
      </c>
      <c r="D351" s="95">
        <f t="shared" si="27"/>
        <v>59.01638580546861</v>
      </c>
      <c r="E351" s="95">
        <f t="shared" si="28"/>
        <v>508.77261554153387</v>
      </c>
      <c r="F351" s="95">
        <f t="shared" si="29"/>
        <v>12367.529742015255</v>
      </c>
    </row>
    <row r="352" spans="2:6" ht="12.75">
      <c r="B352" s="90">
        <f t="shared" si="25"/>
        <v>338</v>
      </c>
      <c r="C352" s="93">
        <f t="shared" si="26"/>
        <v>567.7890013470025</v>
      </c>
      <c r="D352" s="95">
        <f t="shared" si="27"/>
        <v>56.684511317569914</v>
      </c>
      <c r="E352" s="95">
        <f t="shared" si="28"/>
        <v>511.10449002943255</v>
      </c>
      <c r="F352" s="95">
        <f t="shared" si="29"/>
        <v>11856.425251985822</v>
      </c>
    </row>
    <row r="353" spans="2:6" ht="12.75">
      <c r="B353" s="90">
        <f t="shared" si="25"/>
        <v>339</v>
      </c>
      <c r="C353" s="93">
        <f t="shared" si="26"/>
        <v>567.7890013470025</v>
      </c>
      <c r="D353" s="95">
        <f t="shared" si="27"/>
        <v>54.34194907160168</v>
      </c>
      <c r="E353" s="95">
        <f t="shared" si="28"/>
        <v>513.4470522754008</v>
      </c>
      <c r="F353" s="95">
        <f t="shared" si="29"/>
        <v>11342.978199710422</v>
      </c>
    </row>
    <row r="354" spans="2:6" ht="12.75">
      <c r="B354" s="90">
        <f t="shared" si="25"/>
        <v>340</v>
      </c>
      <c r="C354" s="93">
        <f t="shared" si="26"/>
        <v>567.7890013470025</v>
      </c>
      <c r="D354" s="95">
        <f t="shared" si="27"/>
        <v>51.9886500820061</v>
      </c>
      <c r="E354" s="95">
        <f t="shared" si="28"/>
        <v>515.8003512649964</v>
      </c>
      <c r="F354" s="95">
        <f t="shared" si="29"/>
        <v>10827.177848445426</v>
      </c>
    </row>
    <row r="355" spans="2:6" ht="12.75">
      <c r="B355" s="90">
        <f t="shared" si="25"/>
        <v>341</v>
      </c>
      <c r="C355" s="93">
        <f t="shared" si="26"/>
        <v>567.7890013470025</v>
      </c>
      <c r="D355" s="95">
        <f t="shared" si="27"/>
        <v>49.624565138708206</v>
      </c>
      <c r="E355" s="95">
        <f t="shared" si="28"/>
        <v>518.1644362082942</v>
      </c>
      <c r="F355" s="95">
        <f t="shared" si="29"/>
        <v>10309.013412237133</v>
      </c>
    </row>
    <row r="356" spans="2:6" ht="12.75">
      <c r="B356" s="90">
        <f t="shared" si="25"/>
        <v>342</v>
      </c>
      <c r="C356" s="93">
        <f t="shared" si="26"/>
        <v>567.7890013470025</v>
      </c>
      <c r="D356" s="95">
        <f t="shared" si="27"/>
        <v>47.249644806086856</v>
      </c>
      <c r="E356" s="95">
        <f t="shared" si="28"/>
        <v>520.5393565409156</v>
      </c>
      <c r="F356" s="95">
        <f t="shared" si="29"/>
        <v>9788.474055696217</v>
      </c>
    </row>
    <row r="357" spans="2:6" ht="12.75">
      <c r="B357" s="90">
        <f t="shared" si="25"/>
        <v>343</v>
      </c>
      <c r="C357" s="93">
        <f t="shared" si="26"/>
        <v>567.7890013470025</v>
      </c>
      <c r="D357" s="95">
        <f t="shared" si="27"/>
        <v>44.863839421940995</v>
      </c>
      <c r="E357" s="95">
        <f t="shared" si="28"/>
        <v>522.9251619250615</v>
      </c>
      <c r="F357" s="95">
        <f t="shared" si="29"/>
        <v>9265.548893771156</v>
      </c>
    </row>
    <row r="358" spans="2:6" ht="12.75">
      <c r="B358" s="90">
        <f t="shared" si="25"/>
        <v>344</v>
      </c>
      <c r="C358" s="93">
        <f t="shared" si="26"/>
        <v>567.7890013470025</v>
      </c>
      <c r="D358" s="95">
        <f t="shared" si="27"/>
        <v>42.46709909645113</v>
      </c>
      <c r="E358" s="95">
        <f t="shared" si="28"/>
        <v>525.3219022505514</v>
      </c>
      <c r="F358" s="95">
        <f t="shared" si="29"/>
        <v>8740.226991520605</v>
      </c>
    </row>
    <row r="359" spans="2:6" ht="12.75">
      <c r="B359" s="90">
        <f t="shared" si="25"/>
        <v>345</v>
      </c>
      <c r="C359" s="93">
        <f t="shared" si="26"/>
        <v>567.7890013470025</v>
      </c>
      <c r="D359" s="95">
        <f t="shared" si="27"/>
        <v>40.05937371113611</v>
      </c>
      <c r="E359" s="95">
        <f t="shared" si="28"/>
        <v>527.7296276358663</v>
      </c>
      <c r="F359" s="95">
        <f t="shared" si="29"/>
        <v>8212.497363884739</v>
      </c>
    </row>
    <row r="360" spans="2:6" ht="12.75">
      <c r="B360" s="90">
        <f t="shared" si="25"/>
        <v>346</v>
      </c>
      <c r="C360" s="93">
        <f t="shared" si="26"/>
        <v>567.7890013470025</v>
      </c>
      <c r="D360" s="95">
        <f t="shared" si="27"/>
        <v>37.64061291780505</v>
      </c>
      <c r="E360" s="95">
        <f t="shared" si="28"/>
        <v>530.1483884291974</v>
      </c>
      <c r="F360" s="95">
        <f t="shared" si="29"/>
        <v>7682.348975455541</v>
      </c>
    </row>
    <row r="361" spans="2:6" ht="12.75">
      <c r="B361" s="90">
        <f t="shared" si="25"/>
        <v>347</v>
      </c>
      <c r="C361" s="93">
        <f t="shared" si="26"/>
        <v>567.7890013470025</v>
      </c>
      <c r="D361" s="95">
        <f t="shared" si="27"/>
        <v>35.210766137504564</v>
      </c>
      <c r="E361" s="95">
        <f t="shared" si="28"/>
        <v>532.5782352094978</v>
      </c>
      <c r="F361" s="95">
        <f t="shared" si="29"/>
        <v>7149.770740246044</v>
      </c>
    </row>
    <row r="362" spans="2:6" ht="12.75">
      <c r="B362" s="90">
        <f t="shared" si="25"/>
        <v>348</v>
      </c>
      <c r="C362" s="93">
        <f t="shared" si="26"/>
        <v>567.7890013470025</v>
      </c>
      <c r="D362" s="95">
        <f t="shared" si="27"/>
        <v>32.769782559461035</v>
      </c>
      <c r="E362" s="95">
        <f t="shared" si="28"/>
        <v>535.0192187875414</v>
      </c>
      <c r="F362" s="95">
        <f t="shared" si="29"/>
        <v>6614.751521458502</v>
      </c>
    </row>
    <row r="363" spans="2:6" ht="12.75">
      <c r="B363" s="90">
        <f t="shared" si="25"/>
        <v>349</v>
      </c>
      <c r="C363" s="93">
        <f t="shared" si="26"/>
        <v>567.7890013470025</v>
      </c>
      <c r="D363" s="95">
        <f t="shared" si="27"/>
        <v>30.317611140018133</v>
      </c>
      <c r="E363" s="95">
        <f t="shared" si="28"/>
        <v>537.4713902069843</v>
      </c>
      <c r="F363" s="95">
        <f t="shared" si="29"/>
        <v>6077.280131251518</v>
      </c>
    </row>
    <row r="364" spans="2:6" ht="12.75">
      <c r="B364" s="90">
        <f t="shared" si="25"/>
        <v>350</v>
      </c>
      <c r="C364" s="93">
        <f t="shared" si="26"/>
        <v>567.7890013470025</v>
      </c>
      <c r="D364" s="95">
        <f t="shared" si="27"/>
        <v>27.854200601569456</v>
      </c>
      <c r="E364" s="95">
        <f t="shared" si="28"/>
        <v>539.934800745433</v>
      </c>
      <c r="F364" s="95">
        <f t="shared" si="29"/>
        <v>5537.345330506085</v>
      </c>
    </row>
    <row r="365" spans="2:6" ht="12.75">
      <c r="B365" s="90">
        <f t="shared" si="25"/>
        <v>351</v>
      </c>
      <c r="C365" s="93">
        <f t="shared" si="26"/>
        <v>567.7890013470025</v>
      </c>
      <c r="D365" s="95">
        <f t="shared" si="27"/>
        <v>25.379499431486224</v>
      </c>
      <c r="E365" s="95">
        <f t="shared" si="28"/>
        <v>542.4095019155162</v>
      </c>
      <c r="F365" s="95">
        <f t="shared" si="29"/>
        <v>4994.935828590568</v>
      </c>
    </row>
    <row r="366" spans="2:6" ht="12.75">
      <c r="B366" s="90">
        <f t="shared" si="25"/>
        <v>352</v>
      </c>
      <c r="C366" s="93">
        <f t="shared" si="26"/>
        <v>567.7890013470025</v>
      </c>
      <c r="D366" s="95">
        <f t="shared" si="27"/>
        <v>22.893455881040104</v>
      </c>
      <c r="E366" s="95">
        <f t="shared" si="28"/>
        <v>544.8955454659623</v>
      </c>
      <c r="F366" s="95">
        <f t="shared" si="29"/>
        <v>4450.040283124606</v>
      </c>
    </row>
    <row r="367" spans="2:6" ht="12.75">
      <c r="B367" s="90">
        <f t="shared" si="25"/>
        <v>353</v>
      </c>
      <c r="C367" s="93">
        <f t="shared" si="26"/>
        <v>567.7890013470025</v>
      </c>
      <c r="D367" s="95">
        <f t="shared" si="27"/>
        <v>20.39601796432111</v>
      </c>
      <c r="E367" s="95">
        <f t="shared" si="28"/>
        <v>547.3929833826813</v>
      </c>
      <c r="F367" s="95">
        <f t="shared" si="29"/>
        <v>3902.647299741924</v>
      </c>
    </row>
    <row r="368" spans="2:6" ht="12.75">
      <c r="B368" s="90">
        <f t="shared" si="25"/>
        <v>354</v>
      </c>
      <c r="C368" s="93">
        <f t="shared" si="26"/>
        <v>567.7890013470025</v>
      </c>
      <c r="D368" s="95">
        <f t="shared" si="27"/>
        <v>17.887133457150487</v>
      </c>
      <c r="E368" s="95">
        <f t="shared" si="28"/>
        <v>549.9018678898519</v>
      </c>
      <c r="F368" s="95">
        <f t="shared" si="29"/>
        <v>3352.745431852072</v>
      </c>
    </row>
    <row r="369" spans="2:6" ht="12.75">
      <c r="B369" s="90">
        <f t="shared" si="25"/>
        <v>355</v>
      </c>
      <c r="C369" s="93">
        <f t="shared" si="26"/>
        <v>567.7890013470025</v>
      </c>
      <c r="D369" s="95">
        <f t="shared" si="27"/>
        <v>15.366749895988665</v>
      </c>
      <c r="E369" s="95">
        <f t="shared" si="28"/>
        <v>552.4222514510138</v>
      </c>
      <c r="F369" s="95">
        <f t="shared" si="29"/>
        <v>2800.3231804010584</v>
      </c>
    </row>
    <row r="370" spans="2:6" ht="12.75">
      <c r="B370" s="90">
        <f t="shared" si="25"/>
        <v>356</v>
      </c>
      <c r="C370" s="93">
        <f t="shared" si="26"/>
        <v>567.7890013470025</v>
      </c>
      <c r="D370" s="95">
        <f t="shared" si="27"/>
        <v>12.834814576838184</v>
      </c>
      <c r="E370" s="95">
        <f t="shared" si="28"/>
        <v>554.9541867701643</v>
      </c>
      <c r="F370" s="95">
        <f t="shared" si="29"/>
        <v>2245.3689936308942</v>
      </c>
    </row>
    <row r="371" spans="2:6" ht="12.75">
      <c r="B371" s="90">
        <f t="shared" si="25"/>
        <v>357</v>
      </c>
      <c r="C371" s="93">
        <f t="shared" si="26"/>
        <v>567.7890013470025</v>
      </c>
      <c r="D371" s="95">
        <f t="shared" si="27"/>
        <v>10.291274554141598</v>
      </c>
      <c r="E371" s="95">
        <f t="shared" si="28"/>
        <v>557.4977267928608</v>
      </c>
      <c r="F371" s="95">
        <f t="shared" si="29"/>
        <v>1687.8712668380335</v>
      </c>
    </row>
    <row r="372" spans="2:6" ht="12.75">
      <c r="B372" s="90">
        <f t="shared" si="25"/>
        <v>358</v>
      </c>
      <c r="C372" s="93">
        <f t="shared" si="26"/>
        <v>567.7890013470025</v>
      </c>
      <c r="D372" s="95">
        <f t="shared" si="27"/>
        <v>7.73607663967432</v>
      </c>
      <c r="E372" s="95">
        <f t="shared" si="28"/>
        <v>560.0529247073281</v>
      </c>
      <c r="F372" s="95">
        <f t="shared" si="29"/>
        <v>1127.8183421307053</v>
      </c>
    </row>
    <row r="373" spans="2:6" ht="12.75">
      <c r="B373" s="90">
        <f t="shared" si="25"/>
        <v>359</v>
      </c>
      <c r="C373" s="93">
        <f t="shared" si="26"/>
        <v>567.7890013470025</v>
      </c>
      <c r="D373" s="95">
        <f t="shared" si="27"/>
        <v>5.169167401432399</v>
      </c>
      <c r="E373" s="95">
        <f t="shared" si="28"/>
        <v>562.61983394557</v>
      </c>
      <c r="F373" s="95">
        <f t="shared" si="29"/>
        <v>565.1985081851353</v>
      </c>
    </row>
    <row r="374" spans="2:6" ht="12.75">
      <c r="B374" s="90">
        <f t="shared" si="25"/>
        <v>360</v>
      </c>
      <c r="C374" s="93">
        <f t="shared" si="26"/>
        <v>567.7890013470025</v>
      </c>
      <c r="D374" s="95">
        <f t="shared" si="27"/>
        <v>2.5904931625152035</v>
      </c>
      <c r="E374" s="95">
        <f t="shared" si="28"/>
        <v>565.1985081844872</v>
      </c>
      <c r="F374" s="95">
        <f t="shared" si="29"/>
        <v>6.48128661850933E-10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K41"/>
  <sheetViews>
    <sheetView workbookViewId="0" topLeftCell="A1">
      <selection activeCell="C1" sqref="A1:IV16384"/>
    </sheetView>
  </sheetViews>
  <sheetFormatPr defaultColWidth="9.33203125" defaultRowHeight="12.75"/>
  <cols>
    <col min="5" max="5" width="29.16015625" style="0" bestFit="1" customWidth="1"/>
  </cols>
  <sheetData>
    <row r="3" spans="2:11" ht="15">
      <c r="B3" s="26" t="s">
        <v>84</v>
      </c>
      <c r="C3" s="8">
        <v>0.1</v>
      </c>
      <c r="F3" s="11" t="s">
        <v>6</v>
      </c>
      <c r="G3" s="11" t="s">
        <v>7</v>
      </c>
      <c r="H3" s="11" t="s">
        <v>8</v>
      </c>
      <c r="I3" s="11" t="s">
        <v>28</v>
      </c>
      <c r="J3" s="11" t="s">
        <v>85</v>
      </c>
      <c r="K3" s="11" t="s">
        <v>86</v>
      </c>
    </row>
    <row r="4" spans="2:5" ht="12.75">
      <c r="B4" s="27" t="s">
        <v>87</v>
      </c>
      <c r="C4" s="9">
        <v>0.12</v>
      </c>
      <c r="E4" t="s">
        <v>88</v>
      </c>
    </row>
    <row r="5" spans="2:11" ht="15">
      <c r="B5" s="27" t="s">
        <v>89</v>
      </c>
      <c r="C5" s="9">
        <v>0.07</v>
      </c>
      <c r="E5" t="s">
        <v>90</v>
      </c>
      <c r="F5" s="96">
        <v>310.37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</row>
    <row r="6" spans="2:11" ht="12.75">
      <c r="B6" s="27" t="s">
        <v>62</v>
      </c>
      <c r="C6" s="9">
        <v>0.35</v>
      </c>
      <c r="E6" t="s">
        <v>91</v>
      </c>
      <c r="F6" s="96">
        <v>35</v>
      </c>
      <c r="G6" s="96">
        <v>5</v>
      </c>
      <c r="H6" s="96">
        <v>5.5</v>
      </c>
      <c r="I6" s="96">
        <v>6</v>
      </c>
      <c r="J6" s="96">
        <v>6.5</v>
      </c>
      <c r="K6" s="96">
        <v>7</v>
      </c>
    </row>
    <row r="7" spans="2:11" ht="15">
      <c r="B7" s="53" t="s">
        <v>92</v>
      </c>
      <c r="C7" s="47">
        <f>C5-(C4*((C3/(1-C6))-C5))</f>
        <v>0.059938461538461545</v>
      </c>
      <c r="E7" t="s">
        <v>93</v>
      </c>
      <c r="F7" s="96">
        <v>0</v>
      </c>
      <c r="G7" s="96">
        <v>50</v>
      </c>
      <c r="H7" s="96">
        <v>55</v>
      </c>
      <c r="I7" s="96">
        <v>60</v>
      </c>
      <c r="J7" s="96">
        <v>65</v>
      </c>
      <c r="K7" s="96">
        <v>70</v>
      </c>
    </row>
    <row r="8" spans="5:11" ht="12.75">
      <c r="E8" t="s">
        <v>94</v>
      </c>
      <c r="F8" s="23">
        <f aca="true" t="shared" si="0" ref="F8:K8">F5-F6-F7</f>
        <v>275.37</v>
      </c>
      <c r="G8" s="23">
        <f t="shared" si="0"/>
        <v>-55</v>
      </c>
      <c r="H8" s="23">
        <f t="shared" si="0"/>
        <v>-60.5</v>
      </c>
      <c r="I8" s="23">
        <f t="shared" si="0"/>
        <v>-66</v>
      </c>
      <c r="J8" s="23">
        <f t="shared" si="0"/>
        <v>-71.5</v>
      </c>
      <c r="K8" s="23">
        <f t="shared" si="0"/>
        <v>-77</v>
      </c>
    </row>
    <row r="10" spans="5:11" ht="12.75">
      <c r="E10" t="s">
        <v>95</v>
      </c>
      <c r="F10" s="23">
        <f>-NPV($C$7,G8:$K8)</f>
        <v>275.3688021170036</v>
      </c>
      <c r="G10" s="23">
        <f>-NPV($C$7,H8:$K8)</f>
        <v>236.87398447158586</v>
      </c>
      <c r="H10" s="23">
        <f>-NPV($C$7,I8:$K8)</f>
        <v>190.57184667929812</v>
      </c>
      <c r="I10" s="23">
        <f>-NPV($C$7,J8:$K8)</f>
        <v>135.9944299817988</v>
      </c>
      <c r="J10" s="23">
        <f>-NPV($C$7,K8:$K8)</f>
        <v>72.64572689270786</v>
      </c>
      <c r="K10" s="23">
        <v>0</v>
      </c>
    </row>
    <row r="11" spans="5:11" ht="12.75">
      <c r="E11" t="s">
        <v>96</v>
      </c>
      <c r="F11" s="23">
        <f aca="true" t="shared" si="1" ref="F11:K11">F10*$C$4</f>
        <v>33.044256254040434</v>
      </c>
      <c r="G11" s="23">
        <f t="shared" si="1"/>
        <v>28.4248781365903</v>
      </c>
      <c r="H11" s="23">
        <f t="shared" si="1"/>
        <v>22.868621601515773</v>
      </c>
      <c r="I11" s="23">
        <f t="shared" si="1"/>
        <v>16.319331597815854</v>
      </c>
      <c r="J11" s="23">
        <f t="shared" si="1"/>
        <v>8.717487227124943</v>
      </c>
      <c r="K11" s="23">
        <f t="shared" si="1"/>
        <v>0</v>
      </c>
    </row>
    <row r="12" spans="5:11" ht="12.75">
      <c r="E12" t="s">
        <v>97</v>
      </c>
      <c r="F12" s="23">
        <f aca="true" t="shared" si="2" ref="F12:K12">F10+F11</f>
        <v>308.41305837104403</v>
      </c>
      <c r="G12" s="23">
        <f t="shared" si="2"/>
        <v>265.29886260817614</v>
      </c>
      <c r="H12" s="23">
        <f t="shared" si="2"/>
        <v>213.4404682808139</v>
      </c>
      <c r="I12" s="23">
        <f t="shared" si="2"/>
        <v>152.31376157961463</v>
      </c>
      <c r="J12" s="23">
        <f t="shared" si="2"/>
        <v>81.3632141198328</v>
      </c>
      <c r="K12" s="23">
        <f t="shared" si="2"/>
        <v>0</v>
      </c>
    </row>
    <row r="13" spans="5:11" ht="12.75">
      <c r="E13" t="s">
        <v>98</v>
      </c>
      <c r="F13" s="23">
        <v>0</v>
      </c>
      <c r="G13" s="23">
        <f>F12*$C$5</f>
        <v>21.588914085973084</v>
      </c>
      <c r="H13" s="23">
        <f>G12*$C$5</f>
        <v>18.570920382572332</v>
      </c>
      <c r="I13" s="23">
        <f>H12*$C$5</f>
        <v>14.940832779656974</v>
      </c>
      <c r="J13" s="23">
        <f>I12*$C$5</f>
        <v>10.661963310573025</v>
      </c>
      <c r="K13" s="23">
        <f>J12*$C$5</f>
        <v>5.695424988388297</v>
      </c>
    </row>
    <row r="14" spans="5:11" ht="12.75">
      <c r="E14" t="s">
        <v>99</v>
      </c>
      <c r="F14" s="23">
        <f>F5-F6-F7+F13-F10</f>
        <v>0.0011978829963936732</v>
      </c>
      <c r="G14" s="23">
        <f>G5-G6-G7+G13-(G10-F10)</f>
        <v>5.0837317313908414</v>
      </c>
      <c r="H14" s="23">
        <f>H5-H6-H7+H13-(H10-G10)</f>
        <v>4.37305817486007</v>
      </c>
      <c r="I14" s="23">
        <f>I5-I6-I7+I13-(I10-H10)</f>
        <v>3.518249477156303</v>
      </c>
      <c r="J14" s="23">
        <f>J5-J6-J7+J13-(J10-I10)</f>
        <v>2.510666399663961</v>
      </c>
      <c r="K14" s="23">
        <f>K5-K6-K7+K13-(K10-J10)</f>
        <v>1.3411518810961525</v>
      </c>
    </row>
    <row r="15" spans="5:11" ht="12.75">
      <c r="E15" t="s">
        <v>100</v>
      </c>
      <c r="F15" s="23">
        <f aca="true" t="shared" si="3" ref="F15:K15">F14*$C$6</f>
        <v>0.0004192590487377856</v>
      </c>
      <c r="G15" s="23">
        <f t="shared" si="3"/>
        <v>1.7793061059867943</v>
      </c>
      <c r="H15" s="23">
        <f t="shared" si="3"/>
        <v>1.5305703612010244</v>
      </c>
      <c r="I15" s="23">
        <f t="shared" si="3"/>
        <v>1.2313873170047058</v>
      </c>
      <c r="J15" s="23">
        <f t="shared" si="3"/>
        <v>0.8787332398823863</v>
      </c>
      <c r="K15" s="23">
        <f t="shared" si="3"/>
        <v>0.4694031583836533</v>
      </c>
    </row>
    <row r="16" spans="5:11" ht="12.75">
      <c r="E16" t="s">
        <v>101</v>
      </c>
      <c r="F16" s="23">
        <f>-F11-(F15-F14)</f>
        <v>-33.04347763009278</v>
      </c>
      <c r="G16" s="23">
        <f>(F11-G11)-(G15-G14)</f>
        <v>7.923803742854179</v>
      </c>
      <c r="H16" s="23">
        <f>(G11-H11)-(H15-H14)</f>
        <v>8.398744348733572</v>
      </c>
      <c r="I16" s="23">
        <f>(H11-I11)-(I15-I14)</f>
        <v>8.836152163851516</v>
      </c>
      <c r="J16" s="23">
        <f>(I11-J11)-(J15-J14)</f>
        <v>9.233777530472485</v>
      </c>
      <c r="K16" s="23">
        <f>(J11-K11)-(K15-K14)</f>
        <v>9.589235949837443</v>
      </c>
    </row>
    <row r="18" spans="5:6" ht="12.75">
      <c r="E18" t="s">
        <v>102</v>
      </c>
      <c r="F18" s="58">
        <f>IRR(F16:K16)</f>
        <v>0.10000892187377797</v>
      </c>
    </row>
    <row r="20" spans="5:11" ht="12.75">
      <c r="E20" s="74" t="s">
        <v>103</v>
      </c>
      <c r="F20" s="11" t="s">
        <v>6</v>
      </c>
      <c r="G20" s="11" t="s">
        <v>7</v>
      </c>
      <c r="H20" s="11" t="s">
        <v>8</v>
      </c>
      <c r="I20" s="11" t="s">
        <v>28</v>
      </c>
      <c r="J20" s="11" t="s">
        <v>85</v>
      </c>
      <c r="K20" s="11" t="s">
        <v>86</v>
      </c>
    </row>
    <row r="21" spans="5:11" ht="12.75">
      <c r="E21" t="s">
        <v>104</v>
      </c>
      <c r="F21" s="23">
        <f aca="true" t="shared" si="4" ref="F21:K21">F5</f>
        <v>310.37</v>
      </c>
      <c r="G21" s="23">
        <f t="shared" si="4"/>
        <v>0</v>
      </c>
      <c r="H21" s="23">
        <f t="shared" si="4"/>
        <v>0</v>
      </c>
      <c r="I21" s="23">
        <f t="shared" si="4"/>
        <v>0</v>
      </c>
      <c r="J21" s="23">
        <f t="shared" si="4"/>
        <v>0</v>
      </c>
      <c r="K21" s="23">
        <f t="shared" si="4"/>
        <v>0</v>
      </c>
    </row>
    <row r="22" spans="5:11" ht="12.75">
      <c r="E22" t="s">
        <v>105</v>
      </c>
      <c r="F22" s="23">
        <f aca="true" t="shared" si="5" ref="F22:K22">F13</f>
        <v>0</v>
      </c>
      <c r="G22" s="23">
        <f t="shared" si="5"/>
        <v>21.588914085973084</v>
      </c>
      <c r="H22" s="23">
        <f t="shared" si="5"/>
        <v>18.570920382572332</v>
      </c>
      <c r="I22" s="23">
        <f t="shared" si="5"/>
        <v>14.940832779656974</v>
      </c>
      <c r="J22" s="23">
        <f t="shared" si="5"/>
        <v>10.661963310573025</v>
      </c>
      <c r="K22" s="23">
        <f t="shared" si="5"/>
        <v>5.695424988388297</v>
      </c>
    </row>
    <row r="23" spans="5:11" ht="12.75">
      <c r="E23" t="s">
        <v>106</v>
      </c>
      <c r="F23" s="23">
        <f aca="true" t="shared" si="6" ref="F23:K23">SUM(F21:F22)</f>
        <v>310.37</v>
      </c>
      <c r="G23" s="23">
        <f t="shared" si="6"/>
        <v>21.588914085973084</v>
      </c>
      <c r="H23" s="23">
        <f t="shared" si="6"/>
        <v>18.570920382572332</v>
      </c>
      <c r="I23" s="23">
        <f t="shared" si="6"/>
        <v>14.940832779656974</v>
      </c>
      <c r="J23" s="23">
        <f t="shared" si="6"/>
        <v>10.661963310573025</v>
      </c>
      <c r="K23" s="23">
        <f t="shared" si="6"/>
        <v>5.695424988388297</v>
      </c>
    </row>
    <row r="25" spans="5:11" ht="12.75">
      <c r="E25" t="s">
        <v>107</v>
      </c>
      <c r="F25" s="23">
        <f aca="true" t="shared" si="7" ref="F25:K25">F7</f>
        <v>0</v>
      </c>
      <c r="G25" s="23">
        <f t="shared" si="7"/>
        <v>50</v>
      </c>
      <c r="H25" s="23">
        <f t="shared" si="7"/>
        <v>55</v>
      </c>
      <c r="I25" s="23">
        <f t="shared" si="7"/>
        <v>60</v>
      </c>
      <c r="J25" s="23">
        <f t="shared" si="7"/>
        <v>65</v>
      </c>
      <c r="K25" s="23">
        <f t="shared" si="7"/>
        <v>70</v>
      </c>
    </row>
    <row r="26" spans="5:11" ht="12.75">
      <c r="E26" t="s">
        <v>108</v>
      </c>
      <c r="F26" s="23">
        <f aca="true" t="shared" si="8" ref="F26:K26">F6</f>
        <v>35</v>
      </c>
      <c r="G26" s="23">
        <f t="shared" si="8"/>
        <v>5</v>
      </c>
      <c r="H26" s="23">
        <f t="shared" si="8"/>
        <v>5.5</v>
      </c>
      <c r="I26" s="23">
        <f t="shared" si="8"/>
        <v>6</v>
      </c>
      <c r="J26" s="23">
        <f t="shared" si="8"/>
        <v>6.5</v>
      </c>
      <c r="K26" s="23">
        <f t="shared" si="8"/>
        <v>7</v>
      </c>
    </row>
    <row r="27" spans="5:11" ht="12.75">
      <c r="E27" t="s">
        <v>109</v>
      </c>
      <c r="F27" s="23">
        <f>F10</f>
        <v>275.3688021170036</v>
      </c>
      <c r="G27" s="23">
        <f>G10-F10</f>
        <v>-38.494817645417754</v>
      </c>
      <c r="H27" s="23">
        <f>H10-G10</f>
        <v>-46.30213779228774</v>
      </c>
      <c r="I27" s="23">
        <f>I10-H10</f>
        <v>-54.57741669749933</v>
      </c>
      <c r="J27" s="23">
        <f>J10-I10</f>
        <v>-63.34870308909093</v>
      </c>
      <c r="K27" s="23">
        <f>K10-J10</f>
        <v>-72.64572689270786</v>
      </c>
    </row>
    <row r="28" spans="5:11" ht="12.75">
      <c r="E28" t="s">
        <v>110</v>
      </c>
      <c r="F28" s="23">
        <f aca="true" t="shared" si="9" ref="F28:K28">SUM(F25:F27)</f>
        <v>310.3688021170036</v>
      </c>
      <c r="G28" s="23">
        <f t="shared" si="9"/>
        <v>16.505182354582246</v>
      </c>
      <c r="H28" s="23">
        <f t="shared" si="9"/>
        <v>14.197862207712262</v>
      </c>
      <c r="I28" s="23">
        <f t="shared" si="9"/>
        <v>11.42258330250067</v>
      </c>
      <c r="J28" s="23">
        <f t="shared" si="9"/>
        <v>8.151296910909068</v>
      </c>
      <c r="K28" s="23">
        <f t="shared" si="9"/>
        <v>4.354273107292144</v>
      </c>
    </row>
    <row r="30" spans="5:11" ht="12.75">
      <c r="E30" t="s">
        <v>111</v>
      </c>
      <c r="F30" s="23">
        <f aca="true" t="shared" si="10" ref="F30:K30">F23-F28</f>
        <v>0.0011978829963936732</v>
      </c>
      <c r="G30" s="23">
        <f t="shared" si="10"/>
        <v>5.083731731390838</v>
      </c>
      <c r="H30" s="23">
        <f t="shared" si="10"/>
        <v>4.37305817486007</v>
      </c>
      <c r="I30" s="23">
        <f t="shared" si="10"/>
        <v>3.5182494771563046</v>
      </c>
      <c r="J30" s="23">
        <f t="shared" si="10"/>
        <v>2.5106663996639575</v>
      </c>
      <c r="K30" s="23">
        <f t="shared" si="10"/>
        <v>1.3411518810961525</v>
      </c>
    </row>
    <row r="31" spans="5:11" ht="12.75">
      <c r="E31" t="s">
        <v>112</v>
      </c>
      <c r="F31" s="23">
        <f aca="true" t="shared" si="11" ref="F31:K31">F30*$C$6</f>
        <v>0.0004192590487377856</v>
      </c>
      <c r="G31" s="23">
        <f t="shared" si="11"/>
        <v>1.7793061059867932</v>
      </c>
      <c r="H31" s="23">
        <f t="shared" si="11"/>
        <v>1.5305703612010244</v>
      </c>
      <c r="I31" s="23">
        <f t="shared" si="11"/>
        <v>1.2313873170047065</v>
      </c>
      <c r="J31" s="23">
        <f t="shared" si="11"/>
        <v>0.878733239882385</v>
      </c>
      <c r="K31" s="23">
        <f t="shared" si="11"/>
        <v>0.4694031583836533</v>
      </c>
    </row>
    <row r="32" spans="5:11" ht="12.75">
      <c r="E32" t="s">
        <v>113</v>
      </c>
      <c r="F32" s="23">
        <f aca="true" t="shared" si="12" ref="F32:K32">F30-F31</f>
        <v>0.0007786239476558876</v>
      </c>
      <c r="G32" s="23">
        <f t="shared" si="12"/>
        <v>3.3044256254040447</v>
      </c>
      <c r="H32" s="23">
        <f t="shared" si="12"/>
        <v>2.8424878136590452</v>
      </c>
      <c r="I32" s="23">
        <f t="shared" si="12"/>
        <v>2.286862160151598</v>
      </c>
      <c r="J32" s="23">
        <f t="shared" si="12"/>
        <v>1.6319331597815725</v>
      </c>
      <c r="K32" s="23">
        <f t="shared" si="12"/>
        <v>0.8717487227124991</v>
      </c>
    </row>
    <row r="34" spans="5:11" ht="12.75">
      <c r="E34" t="s">
        <v>114</v>
      </c>
      <c r="G34" s="97">
        <f>G32/F11</f>
        <v>0.10000000000000005</v>
      </c>
      <c r="H34" s="97">
        <f>H32/G11</f>
        <v>0.10000000000000053</v>
      </c>
      <c r="I34" s="97">
        <f>I32/H11</f>
        <v>0.10000000000000091</v>
      </c>
      <c r="J34" s="97">
        <f>J32/I11</f>
        <v>0.09999999999999921</v>
      </c>
      <c r="K34" s="97">
        <f>K32/J11</f>
        <v>0.10000000000000056</v>
      </c>
    </row>
    <row r="36" spans="5:11" ht="12.75">
      <c r="E36" s="74" t="s">
        <v>115</v>
      </c>
      <c r="F36" s="11" t="s">
        <v>6</v>
      </c>
      <c r="G36" s="11" t="s">
        <v>7</v>
      </c>
      <c r="H36" s="11" t="s">
        <v>8</v>
      </c>
      <c r="I36" s="11" t="s">
        <v>28</v>
      </c>
      <c r="J36" s="11" t="s">
        <v>85</v>
      </c>
      <c r="K36" s="11" t="s">
        <v>86</v>
      </c>
    </row>
    <row r="37" spans="5:11" ht="12.75">
      <c r="E37" t="s">
        <v>116</v>
      </c>
      <c r="F37" s="23">
        <f aca="true" t="shared" si="13" ref="F37:K37">F12</f>
        <v>308.41305837104403</v>
      </c>
      <c r="G37" s="23">
        <f t="shared" si="13"/>
        <v>265.29886260817614</v>
      </c>
      <c r="H37" s="23">
        <f t="shared" si="13"/>
        <v>213.4404682808139</v>
      </c>
      <c r="I37" s="23">
        <f t="shared" si="13"/>
        <v>152.31376157961463</v>
      </c>
      <c r="J37" s="23">
        <f t="shared" si="13"/>
        <v>81.3632141198328</v>
      </c>
      <c r="K37" s="23">
        <f t="shared" si="13"/>
        <v>0</v>
      </c>
    </row>
    <row r="39" spans="5:11" ht="12.75">
      <c r="E39" t="s">
        <v>117</v>
      </c>
      <c r="F39" s="23">
        <f aca="true" t="shared" si="14" ref="F39:K40">F10</f>
        <v>275.3688021170036</v>
      </c>
      <c r="G39" s="23">
        <f t="shared" si="14"/>
        <v>236.87398447158586</v>
      </c>
      <c r="H39" s="23">
        <f t="shared" si="14"/>
        <v>190.57184667929812</v>
      </c>
      <c r="I39" s="23">
        <f t="shared" si="14"/>
        <v>135.9944299817988</v>
      </c>
      <c r="J39" s="23">
        <f t="shared" si="14"/>
        <v>72.64572689270786</v>
      </c>
      <c r="K39" s="23">
        <f t="shared" si="14"/>
        <v>0</v>
      </c>
    </row>
    <row r="40" spans="5:11" ht="12.75">
      <c r="E40" t="s">
        <v>118</v>
      </c>
      <c r="F40" s="23">
        <f t="shared" si="14"/>
        <v>33.044256254040434</v>
      </c>
      <c r="G40" s="23">
        <f t="shared" si="14"/>
        <v>28.4248781365903</v>
      </c>
      <c r="H40" s="23">
        <f t="shared" si="14"/>
        <v>22.868621601515773</v>
      </c>
      <c r="I40" s="23">
        <f t="shared" si="14"/>
        <v>16.319331597815854</v>
      </c>
      <c r="J40" s="23">
        <f t="shared" si="14"/>
        <v>8.717487227124943</v>
      </c>
      <c r="K40" s="23">
        <f t="shared" si="14"/>
        <v>0</v>
      </c>
    </row>
    <row r="41" spans="5:11" ht="12.75">
      <c r="E41" t="s">
        <v>119</v>
      </c>
      <c r="F41" s="23">
        <f aca="true" t="shared" si="15" ref="F41:K41">SUM(F39:F40)</f>
        <v>308.41305837104403</v>
      </c>
      <c r="G41" s="23">
        <f t="shared" si="15"/>
        <v>265.29886260817614</v>
      </c>
      <c r="H41" s="23">
        <f t="shared" si="15"/>
        <v>213.4404682808139</v>
      </c>
      <c r="I41" s="23">
        <f t="shared" si="15"/>
        <v>152.31376157961463</v>
      </c>
      <c r="J41" s="23">
        <f t="shared" si="15"/>
        <v>81.3632141198328</v>
      </c>
      <c r="K41" s="23">
        <f t="shared" si="15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Richard Mattison</cp:lastModifiedBy>
  <dcterms:created xsi:type="dcterms:W3CDTF">2002-11-29T16:54:14Z</dcterms:created>
  <dcterms:modified xsi:type="dcterms:W3CDTF">2009-01-21T15:20:25Z</dcterms:modified>
  <cp:category/>
  <cp:version/>
  <cp:contentType/>
  <cp:contentStatus/>
</cp:coreProperties>
</file>